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nfony Dropbox\Ventes\Sinfony\Mastermind - partage expérience transfos qualité\Outil de diagnostic\"/>
    </mc:Choice>
  </mc:AlternateContent>
  <xr:revisionPtr revIDLastSave="0" documentId="13_ncr:1_{8B5A48FC-120A-44D9-9FCD-C48AB716A6BA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Paramètres" sheetId="2" r:id="rId1"/>
    <sheet name="Coûts documentaires" sheetId="1" r:id="rId2"/>
    <sheet name="Coûts de training" sheetId="4" r:id="rId3"/>
    <sheet name="Coûts de knowledge mgt" sheetId="5" r:id="rId4"/>
    <sheet name="Synthèse des coûts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2" l="1"/>
  <c r="D41" i="1"/>
  <c r="B13" i="2"/>
  <c r="C13" i="2"/>
  <c r="D13" i="2"/>
  <c r="E28" i="2" l="1"/>
  <c r="E29" i="2"/>
  <c r="C19" i="3"/>
  <c r="F21" i="5"/>
  <c r="E21" i="5"/>
  <c r="D21" i="5"/>
  <c r="F17" i="5"/>
  <c r="E17" i="5"/>
  <c r="D17" i="5"/>
  <c r="F6" i="5"/>
  <c r="F9" i="5" s="1"/>
  <c r="E6" i="5"/>
  <c r="D6" i="5"/>
  <c r="D28" i="5"/>
  <c r="D31" i="5" s="1"/>
  <c r="C23" i="3" s="1"/>
  <c r="F42" i="4"/>
  <c r="E42" i="4"/>
  <c r="D42" i="4"/>
  <c r="D49" i="4"/>
  <c r="D52" i="4" s="1"/>
  <c r="C16" i="3" s="1"/>
  <c r="F35" i="4"/>
  <c r="F37" i="4" s="1"/>
  <c r="E35" i="4"/>
  <c r="E37" i="4" s="1"/>
  <c r="D35" i="4"/>
  <c r="D37" i="4" s="1"/>
  <c r="F19" i="4"/>
  <c r="E19" i="4"/>
  <c r="D19" i="4"/>
  <c r="F13" i="4"/>
  <c r="E13" i="4"/>
  <c r="D13" i="4"/>
  <c r="F6" i="4"/>
  <c r="E6" i="4"/>
  <c r="D6" i="4"/>
  <c r="C1" i="3"/>
  <c r="C6" i="2"/>
  <c r="F49" i="1"/>
  <c r="F52" i="1" s="1"/>
  <c r="E49" i="1"/>
  <c r="E52" i="1" s="1"/>
  <c r="D49" i="1"/>
  <c r="D52" i="1" s="1"/>
  <c r="D44" i="1"/>
  <c r="C8" i="3" s="1"/>
  <c r="C3" i="3"/>
  <c r="E21" i="2"/>
  <c r="C4" i="3" s="1"/>
  <c r="E16" i="2"/>
  <c r="B17" i="2"/>
  <c r="B18" i="2" s="1"/>
  <c r="B25" i="2" s="1"/>
  <c r="D17" i="2"/>
  <c r="D19" i="2" s="1"/>
  <c r="D26" i="2" s="1"/>
  <c r="C17" i="2"/>
  <c r="C19" i="2" s="1"/>
  <c r="C26" i="2" s="1"/>
  <c r="D15" i="2"/>
  <c r="C15" i="2"/>
  <c r="B15" i="2"/>
  <c r="E14" i="2"/>
  <c r="C9" i="2"/>
  <c r="D12" i="5" s="1"/>
  <c r="B9" i="2"/>
  <c r="F19" i="1"/>
  <c r="F13" i="1"/>
  <c r="F6" i="1"/>
  <c r="E19" i="1"/>
  <c r="E13" i="1"/>
  <c r="E6" i="1"/>
  <c r="D19" i="1"/>
  <c r="D13" i="1"/>
  <c r="D6" i="1"/>
  <c r="F18" i="5" l="1"/>
  <c r="E18" i="5"/>
  <c r="D18" i="5"/>
  <c r="D9" i="5"/>
  <c r="E9" i="5"/>
  <c r="C2" i="3"/>
  <c r="F25" i="4"/>
  <c r="D55" i="1"/>
  <c r="D56" i="1" s="1"/>
  <c r="E25" i="1"/>
  <c r="E11" i="5"/>
  <c r="D25" i="4"/>
  <c r="F25" i="1"/>
  <c r="F27" i="1" s="1"/>
  <c r="E55" i="1"/>
  <c r="E56" i="1" s="1"/>
  <c r="F11" i="5"/>
  <c r="F13" i="5" s="1"/>
  <c r="E25" i="4"/>
  <c r="B10" i="2"/>
  <c r="F37" i="1"/>
  <c r="F55" i="1"/>
  <c r="F56" i="1" s="1"/>
  <c r="E37" i="1"/>
  <c r="D25" i="1"/>
  <c r="D11" i="5"/>
  <c r="D37" i="1"/>
  <c r="D26" i="4"/>
  <c r="E26" i="4"/>
  <c r="B22" i="2"/>
  <c r="F12" i="5"/>
  <c r="F26" i="4"/>
  <c r="C22" i="2"/>
  <c r="C24" i="2" s="1"/>
  <c r="E26" i="1"/>
  <c r="E12" i="5"/>
  <c r="D26" i="1"/>
  <c r="F26" i="1"/>
  <c r="D22" i="2"/>
  <c r="D24" i="2" s="1"/>
  <c r="F10" i="5"/>
  <c r="D45" i="4"/>
  <c r="E45" i="4"/>
  <c r="F45" i="4"/>
  <c r="E40" i="4"/>
  <c r="E43" i="4" s="1"/>
  <c r="F40" i="4"/>
  <c r="F43" i="4" s="1"/>
  <c r="D40" i="4"/>
  <c r="D43" i="4" s="1"/>
  <c r="F20" i="4"/>
  <c r="F23" i="4" s="1"/>
  <c r="E20" i="4"/>
  <c r="E23" i="4" s="1"/>
  <c r="D20" i="4"/>
  <c r="D23" i="4" s="1"/>
  <c r="F20" i="1"/>
  <c r="F23" i="1" s="1"/>
  <c r="E20" i="1"/>
  <c r="E24" i="1" s="1"/>
  <c r="D20" i="2"/>
  <c r="D27" i="2" s="1"/>
  <c r="C18" i="2"/>
  <c r="C25" i="2" s="1"/>
  <c r="D18" i="2"/>
  <c r="D25" i="2" s="1"/>
  <c r="B20" i="2"/>
  <c r="B27" i="2" s="1"/>
  <c r="C21" i="2"/>
  <c r="B19" i="2"/>
  <c r="B26" i="2" s="1"/>
  <c r="C20" i="2"/>
  <c r="C27" i="2" s="1"/>
  <c r="D21" i="2"/>
  <c r="B21" i="2"/>
  <c r="D20" i="1"/>
  <c r="D24" i="1" s="1"/>
  <c r="F24" i="1"/>
  <c r="C22" i="3" l="1"/>
  <c r="E27" i="4"/>
  <c r="E23" i="1"/>
  <c r="E27" i="1" s="1"/>
  <c r="E32" i="1" s="1"/>
  <c r="D27" i="4"/>
  <c r="D32" i="4" s="1"/>
  <c r="E46" i="4"/>
  <c r="F27" i="4"/>
  <c r="F33" i="4" s="1"/>
  <c r="F15" i="5"/>
  <c r="F22" i="5"/>
  <c r="D10" i="5"/>
  <c r="E10" i="5"/>
  <c r="C7" i="3"/>
  <c r="B24" i="2"/>
  <c r="E22" i="2"/>
  <c r="C12" i="3" s="1"/>
  <c r="D13" i="5"/>
  <c r="C20" i="3" s="1"/>
  <c r="E13" i="5"/>
  <c r="E22" i="5" s="1"/>
  <c r="C9" i="3"/>
  <c r="F46" i="4"/>
  <c r="F24" i="4"/>
  <c r="D46" i="4"/>
  <c r="F31" i="4"/>
  <c r="F32" i="4"/>
  <c r="E24" i="4"/>
  <c r="D24" i="4"/>
  <c r="D23" i="1"/>
  <c r="D27" i="1" s="1"/>
  <c r="F33" i="1"/>
  <c r="F31" i="1"/>
  <c r="F32" i="1"/>
  <c r="D33" i="4" l="1"/>
  <c r="D31" i="4"/>
  <c r="C13" i="3"/>
  <c r="E31" i="4"/>
  <c r="E33" i="4"/>
  <c r="E31" i="1"/>
  <c r="E32" i="4"/>
  <c r="E33" i="1"/>
  <c r="C5" i="3"/>
  <c r="D22" i="5"/>
  <c r="C24" i="3" s="1"/>
  <c r="D15" i="5"/>
  <c r="E15" i="5"/>
  <c r="D31" i="1"/>
  <c r="C15" i="3"/>
  <c r="C14" i="3"/>
  <c r="D33" i="1"/>
  <c r="D32" i="1"/>
  <c r="C17" i="3" l="1"/>
  <c r="C18" i="3" s="1"/>
  <c r="C21" i="3"/>
  <c r="C25" i="3" s="1"/>
  <c r="C26" i="3" s="1"/>
  <c r="C6" i="3"/>
  <c r="C10" i="3" s="1"/>
  <c r="C11" i="3" l="1"/>
  <c r="E10" i="3"/>
</calcChain>
</file>

<file path=xl/sharedStrings.xml><?xml version="1.0" encoding="utf-8"?>
<sst xmlns="http://schemas.openxmlformats.org/spreadsheetml/2006/main" count="333" uniqueCount="201">
  <si>
    <t>Famille de coût</t>
  </si>
  <si>
    <t>Création de documents</t>
  </si>
  <si>
    <t>Cas 1</t>
  </si>
  <si>
    <t>Cas 2</t>
  </si>
  <si>
    <t>Cas 3</t>
  </si>
  <si>
    <t>Doc impactant 10 personnes</t>
  </si>
  <si>
    <t>Doc impactant 20 personnes</t>
  </si>
  <si>
    <t>Doc impactant 100 personnes</t>
  </si>
  <si>
    <t>Unité</t>
  </si>
  <si>
    <t>Valeur</t>
  </si>
  <si>
    <t>Nb de réunions de design</t>
  </si>
  <si>
    <t>Durée des réunions de design</t>
  </si>
  <si>
    <t>Durée de review par reviewer</t>
  </si>
  <si>
    <t>Nb de réunions de revue</t>
  </si>
  <si>
    <t>Durée des réunions de revue</t>
  </si>
  <si>
    <t>Nb personnes impliquées dans le design</t>
  </si>
  <si>
    <t>Par création</t>
  </si>
  <si>
    <t>nb d'heure par réunion</t>
  </si>
  <si>
    <t>nb d'heures / création</t>
  </si>
  <si>
    <t>Nb par création</t>
  </si>
  <si>
    <t>Durée par revue</t>
  </si>
  <si>
    <t>Nb d'approbateurs</t>
  </si>
  <si>
    <t>Nb de relecteurs</t>
  </si>
  <si>
    <t>Durée de review par approbateur</t>
  </si>
  <si>
    <t>Nb de réunions d'approbation</t>
  </si>
  <si>
    <t>Durée des réunions d'approbation</t>
  </si>
  <si>
    <t>charge de rédaction entre réunions de design et pour écriture</t>
  </si>
  <si>
    <t>Temps total de design</t>
  </si>
  <si>
    <t>en heures</t>
  </si>
  <si>
    <t>Temps total de relecture</t>
  </si>
  <si>
    <t>en heures / création</t>
  </si>
  <si>
    <t>Temps total d'approbation</t>
  </si>
  <si>
    <t>nb d'heure / création</t>
  </si>
  <si>
    <t>Charge de rédaction après relecture (prise en compte des commentaires)</t>
  </si>
  <si>
    <t>Charge de finalisation éventuelle avant ou pendant approbation</t>
  </si>
  <si>
    <t>Nombre d'heure total / création</t>
  </si>
  <si>
    <t>% temps cadre par création</t>
  </si>
  <si>
    <t>% temps technicien par création</t>
  </si>
  <si>
    <t>Coût total moyen annuel</t>
  </si>
  <si>
    <t>Nb d'heure moyen annuel</t>
  </si>
  <si>
    <t>Cadre</t>
  </si>
  <si>
    <t>Technicien</t>
  </si>
  <si>
    <t>Nombre d'heures cadres</t>
  </si>
  <si>
    <t>Nombre d'heures technicien</t>
  </si>
  <si>
    <t>Rappel coût horaire cadre</t>
  </si>
  <si>
    <t>Rappel coût horaire technicien</t>
  </si>
  <si>
    <t>Modifications de documents</t>
  </si>
  <si>
    <t>% du coût de création si modification légère</t>
  </si>
  <si>
    <t>% du coût de création si modification importante</t>
  </si>
  <si>
    <t>% du coût de création si modification très importante</t>
  </si>
  <si>
    <t>Nombre de création / an</t>
  </si>
  <si>
    <t>Nombre de modifications mineures / an</t>
  </si>
  <si>
    <t>Nombre total</t>
  </si>
  <si>
    <t>Nombre de modifications importantes / an</t>
  </si>
  <si>
    <t>Nombre de modifications très importantes / an</t>
  </si>
  <si>
    <t>Profil du portefeuille</t>
  </si>
  <si>
    <t>Nombre total de documents en portefeuille</t>
  </si>
  <si>
    <t>Durée de vie des documents (années)</t>
  </si>
  <si>
    <t>Nombre total de modifications / an (%)</t>
  </si>
  <si>
    <t>Nombre total de modifications / an (nombre)</t>
  </si>
  <si>
    <t>Création des documents</t>
  </si>
  <si>
    <t>Coût des modifications</t>
  </si>
  <si>
    <t>an</t>
  </si>
  <si>
    <t>Euros / an</t>
  </si>
  <si>
    <t>Nombre de documents en portefeuille</t>
  </si>
  <si>
    <t>Durée de vie moyenne d'un document</t>
  </si>
  <si>
    <t>Distribution des documents</t>
  </si>
  <si>
    <t>Charge de distribution par création ou modification</t>
  </si>
  <si>
    <t>nb d'heure par distribution</t>
  </si>
  <si>
    <t>% temps technicien par distribution</t>
  </si>
  <si>
    <t>% temps cadre par distribution</t>
  </si>
  <si>
    <t>Coût total en euro / création</t>
  </si>
  <si>
    <t>Coût / modification légère en euro</t>
  </si>
  <si>
    <t>Coût / modification importante en euro</t>
  </si>
  <si>
    <t>Coût / modification très important en euro</t>
  </si>
  <si>
    <t>Coût total en euros / distribution</t>
  </si>
  <si>
    <t>Coût de distribution</t>
  </si>
  <si>
    <t>Coûts informatiques</t>
  </si>
  <si>
    <t>Personnel</t>
  </si>
  <si>
    <t>Nombre de personne sur site</t>
  </si>
  <si>
    <t>Nombre de personne avec licence GED</t>
  </si>
  <si>
    <t>Nombre d'utilisateurs avec licence</t>
  </si>
  <si>
    <t>Prix par utilisateur et par an</t>
  </si>
  <si>
    <t>Prix des infrastructures par utilisateur et par an</t>
  </si>
  <si>
    <t>Coûts d'usage</t>
  </si>
  <si>
    <t>Utilisateurs averti</t>
  </si>
  <si>
    <t>Utilisateurs moyen</t>
  </si>
  <si>
    <t>Utilisateurs peu averti</t>
  </si>
  <si>
    <t>Répartition du personnel site</t>
  </si>
  <si>
    <t>Temps moyen par semaine passé à chercher et consulter des documents</t>
  </si>
  <si>
    <t>% du personnel total site</t>
  </si>
  <si>
    <t>Nb de personnes</t>
  </si>
  <si>
    <t>Temps moyen par semaine passé à ne pas trouver l'information cherchée</t>
  </si>
  <si>
    <t>Temps total d'usage</t>
  </si>
  <si>
    <t>en heures / an</t>
  </si>
  <si>
    <t>Nombre moyen de semaines travaillées</t>
  </si>
  <si>
    <t>Réparition / personnel total</t>
  </si>
  <si>
    <t>en € / an</t>
  </si>
  <si>
    <t xml:space="preserve">Coût total horaire chargé moyen </t>
  </si>
  <si>
    <t>Coût total horaire chargé</t>
  </si>
  <si>
    <t>Données de nb de personnes et coût total horaire chargé (coût pour l'entreprise)</t>
  </si>
  <si>
    <t>Nombre de personnes sur site / profil</t>
  </si>
  <si>
    <t>utilisateur cadres</t>
  </si>
  <si>
    <t>% / catégories</t>
  </si>
  <si>
    <t>utilisateur techniciens</t>
  </si>
  <si>
    <t>Taux horaire moyen d'usage</t>
  </si>
  <si>
    <t>en € / heure</t>
  </si>
  <si>
    <t>Coût par catégories</t>
  </si>
  <si>
    <t>Taille de site</t>
  </si>
  <si>
    <t>personnes</t>
  </si>
  <si>
    <t>Documents</t>
  </si>
  <si>
    <t>Coûts d'usage documentaire</t>
  </si>
  <si>
    <t>Quantité</t>
  </si>
  <si>
    <t>Total des coûts documentaires</t>
  </si>
  <si>
    <t>Coûts documentaires</t>
  </si>
  <si>
    <t>Masse salariale</t>
  </si>
  <si>
    <t>€/an</t>
  </si>
  <si>
    <t>% de la masse salariale</t>
  </si>
  <si>
    <t>Données générales</t>
  </si>
  <si>
    <t>Nb personnes impliquées dans le design du training</t>
  </si>
  <si>
    <t>Training impactant 10 personnes</t>
  </si>
  <si>
    <t>Training impactant 20 personnes</t>
  </si>
  <si>
    <t>Training impactant 100 personnes</t>
  </si>
  <si>
    <t>charge de conception du training entre réunions de design</t>
  </si>
  <si>
    <t>Création de Training interne</t>
  </si>
  <si>
    <t>Modifications de trainings internes</t>
  </si>
  <si>
    <t>Nombre de sessions de training par création ou par modification</t>
  </si>
  <si>
    <t>Nb / session</t>
  </si>
  <si>
    <t>Durée moyenne de la session</t>
  </si>
  <si>
    <t>nb d'h / session</t>
  </si>
  <si>
    <t>Charge totale formateur et logistique</t>
  </si>
  <si>
    <t>Nb d'h / délivrance</t>
  </si>
  <si>
    <t>Nb de session / délivrance</t>
  </si>
  <si>
    <t>Nb de personnes par training présentiel</t>
  </si>
  <si>
    <t xml:space="preserve"> %Nb / délivrance</t>
  </si>
  <si>
    <t>Nb / délivrance</t>
  </si>
  <si>
    <t>Nb de personnes max par session</t>
  </si>
  <si>
    <t>Nb d'h / personne</t>
  </si>
  <si>
    <t>Organisation logistique du training et tracking</t>
  </si>
  <si>
    <t>Coût total en euros / délivrance</t>
  </si>
  <si>
    <t>Délivrance des trainings en interne</t>
  </si>
  <si>
    <t>Charge totale de délivrance en présentiel</t>
  </si>
  <si>
    <t>Charge totale personnel formé en présentiel</t>
  </si>
  <si>
    <t>Temps déplacement personnel à former en présentiel</t>
  </si>
  <si>
    <t>Temps d'autoformation</t>
  </si>
  <si>
    <t>Charge totale personnel formé en autoformation</t>
  </si>
  <si>
    <t>Autres coûts de formation</t>
  </si>
  <si>
    <t>Nombre d'utilisateurs avec licence outils de training</t>
  </si>
  <si>
    <t>Budget formateurs externes par an</t>
  </si>
  <si>
    <t>Coût total en euros / autres coûts</t>
  </si>
  <si>
    <t>Nombre de création + modification / an</t>
  </si>
  <si>
    <t>% donnant lieu à training formel</t>
  </si>
  <si>
    <t>Nombre de trainings formels</t>
  </si>
  <si>
    <t>Coûts de training</t>
  </si>
  <si>
    <t>Nombre de délivrance de training</t>
  </si>
  <si>
    <t>Training</t>
  </si>
  <si>
    <t>Coût des création de packages</t>
  </si>
  <si>
    <t>Coût des modifications de packages</t>
  </si>
  <si>
    <t>Délivrance du training</t>
  </si>
  <si>
    <t>Autres coûts de training</t>
  </si>
  <si>
    <t>Total des coûts de training</t>
  </si>
  <si>
    <t>Portefeuille de documents, de trainings et de sujet pour knowledge management</t>
  </si>
  <si>
    <t>Dont Nombre de modifications training mineures / an</t>
  </si>
  <si>
    <t>Dont Nombre de modifications  training importantes / an</t>
  </si>
  <si>
    <t>Dont Nombre de modifications  training très importantes / an</t>
  </si>
  <si>
    <t>Création du package KM</t>
  </si>
  <si>
    <t>KM impactant 10 personnes</t>
  </si>
  <si>
    <t>KM impactant 20 personnes</t>
  </si>
  <si>
    <t>KM impactant 100 personnes</t>
  </si>
  <si>
    <t>Nb d'heure par création</t>
  </si>
  <si>
    <t>Nombre de personnes contributrices</t>
  </si>
  <si>
    <t>Nb pers / création</t>
  </si>
  <si>
    <t>% de charge des personnes contributrice / SME</t>
  </si>
  <si>
    <t>% nb h / nb h SME</t>
  </si>
  <si>
    <t>Charge de création du fond pour le SME</t>
  </si>
  <si>
    <t>% du coût de création si modification du package</t>
  </si>
  <si>
    <t>Modifications de package KM</t>
  </si>
  <si>
    <t>Coût / modification en euro</t>
  </si>
  <si>
    <t>Animation du knowldege en routine</t>
  </si>
  <si>
    <t>Nb d'heure par SME / mois / personne</t>
  </si>
  <si>
    <t>Charges unitaires de Helpdesk / réponse aux questions</t>
  </si>
  <si>
    <t>Charges SME de helpdesk</t>
  </si>
  <si>
    <t>Nb d'heure par SME / an</t>
  </si>
  <si>
    <t>Coût total en euros / an / package</t>
  </si>
  <si>
    <t>Méconnaissance du knowldege en routine</t>
  </si>
  <si>
    <t>% du package mal utilisé et donc reconstruit partiellement par d'autre</t>
  </si>
  <si>
    <t>Nombre de fois où le package est reconstruit partiellement dans l'année</t>
  </si>
  <si>
    <t>Equivalent en nombre de packages reconstruits</t>
  </si>
  <si>
    <t>Nombre d'utilisateurs avec licence outils de KM</t>
  </si>
  <si>
    <t>Coûts de KM</t>
  </si>
  <si>
    <t>Package</t>
  </si>
  <si>
    <t>Coût de mauvaise utilisation</t>
  </si>
  <si>
    <t>Coût d'animation en routine</t>
  </si>
  <si>
    <t>Nombre de sujets de KM en portefeuille</t>
  </si>
  <si>
    <t>Nombre de nouveaux sujets KM par an</t>
  </si>
  <si>
    <t>Nombre de KM package en portefeuille</t>
  </si>
  <si>
    <t>Coût technique</t>
  </si>
  <si>
    <t xml:space="preserve"> rajouter coûts d'intégration des nouveaux</t>
  </si>
  <si>
    <t>rajouter coût dossier de lots</t>
  </si>
  <si>
    <t>€/an/doc</t>
  </si>
  <si>
    <t>% de personnes par training présentiel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</si>
</sst>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\ &quot;€&quot;_-;\-* #,##0\ &quot;€&quot;_-;_-* &quot;-&quot;??\ &quot;€&quot;_-;_-@_-"/>
    <numFmt numFmtId="167" formatCode="_-* #,##0\ _€_-;\-* #,##0\ _€_-;_-* &quot;-&quot;??\ _€_-;_-@_-"/>
    <numFmt numFmtId="168" formatCode="_-* #,##0.00\ [$€-80C]_-;\-* #,##0.00\ [$€-80C]_-;_-* &quot;-&quot;??\ [$€-80C]_-;_-@_-"/>
    <numFmt numFmtId="169" formatCode="_-* #,##0\ [$€-80C]_-;\-* #,##0\ [$€-80C]_-;_-* &quot;-&quot;??\ [$€-80C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hair">
        <color indexed="64"/>
      </right>
      <top style="thick">
        <color theme="0" tint="-0.499984740745262"/>
      </top>
      <bottom/>
      <diagonal/>
    </border>
    <border>
      <left style="hair">
        <color indexed="64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hair">
        <color indexed="64"/>
      </right>
      <top/>
      <bottom/>
      <diagonal/>
    </border>
    <border>
      <left style="hair">
        <color indexed="64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hair">
        <color indexed="64"/>
      </right>
      <top/>
      <bottom style="thick">
        <color theme="0" tint="-0.499984740745262"/>
      </bottom>
      <diagonal/>
    </border>
    <border>
      <left style="hair">
        <color indexed="64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hair">
        <color indexed="64"/>
      </right>
      <top style="thick">
        <color theme="0" tint="-0.499984740745262"/>
      </top>
      <bottom style="hair">
        <color indexed="64"/>
      </bottom>
      <diagonal/>
    </border>
    <border>
      <left style="hair">
        <color indexed="64"/>
      </left>
      <right style="thick">
        <color theme="0" tint="-0.499984740745262"/>
      </right>
      <top style="thick">
        <color theme="0" tint="-0.499984740745262"/>
      </top>
      <bottom style="hair">
        <color indexed="64"/>
      </bottom>
      <diagonal/>
    </border>
    <border>
      <left style="thick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ck">
        <color theme="0" tint="-0.499984740745262"/>
      </left>
      <right style="hair">
        <color indexed="64"/>
      </right>
      <top style="hair">
        <color indexed="64"/>
      </top>
      <bottom style="thick">
        <color theme="0" tint="-0.499984740745262"/>
      </bottom>
      <diagonal/>
    </border>
    <border>
      <left style="hair">
        <color indexed="64"/>
      </left>
      <right style="thick">
        <color theme="0" tint="-0.499984740745262"/>
      </right>
      <top style="hair">
        <color indexed="64"/>
      </top>
      <bottom style="thick">
        <color theme="0" tint="-0.499984740745262"/>
      </bottom>
      <diagonal/>
    </border>
    <border>
      <left style="thick">
        <color theme="0" tint="-0.499984740745262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theme="0" tint="-0.499984740745262"/>
      </right>
      <top style="hair">
        <color indexed="64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hair">
        <color indexed="64"/>
      </right>
      <top style="thick">
        <color theme="0" tint="-0.499984740745262"/>
      </top>
      <bottom style="thick">
        <color theme="0" tint="-0.499984740745262"/>
      </bottom>
      <diagonal/>
    </border>
    <border>
      <left style="hair">
        <color indexed="64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hair">
        <color indexed="64"/>
      </left>
      <right/>
      <top style="thick">
        <color theme="0" tint="-0.499984740745262"/>
      </top>
      <bottom style="thick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ck">
        <color theme="0" tint="-0.499984740745262"/>
      </top>
      <bottom style="thick">
        <color theme="0" tint="-0.499984740745262"/>
      </bottom>
      <diagonal/>
    </border>
    <border>
      <left style="hair">
        <color indexed="64"/>
      </left>
      <right/>
      <top style="thick">
        <color theme="0" tint="-0.499984740745262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ck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ck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ck">
        <color theme="0" tint="-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theme="0" tint="-0.49998474074526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ck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ck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theme="0" tint="-0.499984740745262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theme="0" tint="-0.499984740745262"/>
      </right>
      <top/>
      <bottom style="hair">
        <color indexed="64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hair">
        <color indexed="64"/>
      </bottom>
      <diagonal/>
    </border>
    <border>
      <left style="thick">
        <color theme="0" tint="-0.499984740745262"/>
      </left>
      <right style="thick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ck">
        <color theme="0" tint="-0.499984740745262"/>
      </left>
      <right style="thick">
        <color theme="0" tint="-0.499984740745262"/>
      </right>
      <top style="hair">
        <color indexed="64"/>
      </top>
      <bottom style="thick">
        <color theme="0" tint="-0.499984740745262"/>
      </bottom>
      <diagonal/>
    </border>
    <border>
      <left/>
      <right style="hair">
        <color indexed="64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hair">
        <color indexed="64"/>
      </bottom>
      <diagonal/>
    </border>
    <border>
      <left style="thick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 style="thick">
        <color theme="0" tint="-0.499984740745262"/>
      </left>
      <right/>
      <top style="hair">
        <color indexed="64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hair">
        <color indexed="64"/>
      </top>
      <bottom/>
      <diagonal/>
    </border>
    <border>
      <left style="thick">
        <color theme="0" tint="-0.499984740745262"/>
      </left>
      <right style="thick">
        <color theme="0" tint="-0.499984740745262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 style="hair">
        <color indexed="64"/>
      </bottom>
      <diagonal/>
    </border>
    <border>
      <left style="thick">
        <color theme="0" tint="-0.499984740745262"/>
      </left>
      <right style="thick">
        <color theme="0" tint="-0.499984740745262"/>
      </right>
      <top style="hair">
        <color indexed="64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 style="hair">
        <color indexed="64"/>
      </bottom>
      <diagonal/>
    </border>
    <border>
      <left/>
      <right style="thick">
        <color theme="0" tint="-0.499984740745262"/>
      </right>
      <top style="hair">
        <color indexed="64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ck">
        <color theme="0" tint="-0.49998474074526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164" fontId="0" fillId="0" borderId="44" xfId="1" applyNumberFormat="1" applyFont="1" applyBorder="1" applyAlignment="1">
      <alignment vertical="center" wrapText="1"/>
    </xf>
    <xf numFmtId="164" fontId="0" fillId="0" borderId="45" xfId="1" applyNumberFormat="1" applyFont="1" applyBorder="1" applyAlignment="1">
      <alignment vertical="center" wrapText="1"/>
    </xf>
    <xf numFmtId="164" fontId="0" fillId="0" borderId="46" xfId="1" applyNumberFormat="1" applyFont="1" applyBorder="1" applyAlignment="1">
      <alignment vertical="center" wrapText="1"/>
    </xf>
    <xf numFmtId="164" fontId="2" fillId="2" borderId="16" xfId="1" applyNumberFormat="1" applyFont="1" applyFill="1" applyBorder="1" applyAlignment="1">
      <alignment vertical="center" wrapText="1"/>
    </xf>
    <xf numFmtId="164" fontId="2" fillId="2" borderId="33" xfId="1" applyNumberFormat="1" applyFont="1" applyFill="1" applyBorder="1" applyAlignment="1">
      <alignment vertical="center" wrapText="1"/>
    </xf>
    <xf numFmtId="164" fontId="2" fillId="2" borderId="17" xfId="1" applyNumberFormat="1" applyFont="1" applyFill="1" applyBorder="1" applyAlignment="1">
      <alignment vertical="center" wrapText="1"/>
    </xf>
    <xf numFmtId="164" fontId="2" fillId="2" borderId="8" xfId="1" applyNumberFormat="1" applyFont="1" applyFill="1" applyBorder="1" applyAlignment="1">
      <alignment vertical="center" wrapText="1"/>
    </xf>
    <xf numFmtId="164" fontId="2" fillId="2" borderId="30" xfId="1" applyNumberFormat="1" applyFont="1" applyFill="1" applyBorder="1" applyAlignment="1">
      <alignment vertical="center" wrapText="1"/>
    </xf>
    <xf numFmtId="164" fontId="2" fillId="2" borderId="9" xfId="1" applyNumberFormat="1" applyFont="1" applyFill="1" applyBorder="1" applyAlignment="1">
      <alignment vertical="center" wrapText="1"/>
    </xf>
    <xf numFmtId="164" fontId="2" fillId="2" borderId="18" xfId="1" applyNumberFormat="1" applyFont="1" applyFill="1" applyBorder="1" applyAlignment="1">
      <alignment vertical="center" wrapText="1"/>
    </xf>
    <xf numFmtId="164" fontId="2" fillId="2" borderId="36" xfId="1" applyNumberFormat="1" applyFont="1" applyFill="1" applyBorder="1" applyAlignment="1">
      <alignment vertical="center" wrapText="1"/>
    </xf>
    <xf numFmtId="164" fontId="2" fillId="2" borderId="19" xfId="1" applyNumberFormat="1" applyFont="1" applyFill="1" applyBorder="1" applyAlignment="1">
      <alignment vertical="center" wrapText="1"/>
    </xf>
    <xf numFmtId="9" fontId="0" fillId="0" borderId="12" xfId="0" applyNumberFormat="1" applyBorder="1" applyAlignment="1">
      <alignment horizontal="center" vertical="center" wrapText="1"/>
    </xf>
    <xf numFmtId="9" fontId="0" fillId="0" borderId="31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0" fontId="0" fillId="0" borderId="12" xfId="0" applyBorder="1"/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9" fontId="0" fillId="0" borderId="18" xfId="0" applyNumberFormat="1" applyBorder="1" applyAlignment="1">
      <alignment horizontal="center" vertical="center" wrapText="1"/>
    </xf>
    <xf numFmtId="9" fontId="0" fillId="0" borderId="36" xfId="0" applyNumberForma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9" fontId="0" fillId="0" borderId="31" xfId="0" applyNumberFormat="1" applyBorder="1" applyAlignment="1">
      <alignment vertical="center"/>
    </xf>
    <xf numFmtId="9" fontId="0" fillId="0" borderId="13" xfId="0" applyNumberFormat="1" applyBorder="1" applyAlignment="1">
      <alignment vertical="center"/>
    </xf>
    <xf numFmtId="9" fontId="0" fillId="0" borderId="39" xfId="0" applyNumberFormat="1" applyBorder="1" applyAlignment="1">
      <alignment vertical="center"/>
    </xf>
    <xf numFmtId="166" fontId="2" fillId="2" borderId="43" xfId="2" applyNumberFormat="1" applyFont="1" applyFill="1" applyBorder="1" applyAlignment="1">
      <alignment vertical="center" wrapText="1"/>
    </xf>
    <xf numFmtId="166" fontId="2" fillId="2" borderId="24" xfId="2" applyNumberFormat="1" applyFont="1" applyFill="1" applyBorder="1" applyAlignment="1">
      <alignment vertical="center" wrapText="1"/>
    </xf>
    <xf numFmtId="166" fontId="2" fillId="2" borderId="22" xfId="2" applyNumberFormat="1" applyFont="1" applyFill="1" applyBorder="1" applyAlignment="1">
      <alignment vertical="center" wrapText="1"/>
    </xf>
    <xf numFmtId="166" fontId="2" fillId="2" borderId="12" xfId="0" applyNumberFormat="1" applyFont="1" applyFill="1" applyBorder="1" applyAlignment="1">
      <alignment vertical="center" wrapText="1"/>
    </xf>
    <xf numFmtId="166" fontId="2" fillId="2" borderId="31" xfId="0" applyNumberFormat="1" applyFont="1" applyFill="1" applyBorder="1" applyAlignment="1">
      <alignment vertical="center" wrapText="1"/>
    </xf>
    <xf numFmtId="166" fontId="2" fillId="2" borderId="13" xfId="0" applyNumberFormat="1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166" fontId="2" fillId="2" borderId="14" xfId="0" applyNumberFormat="1" applyFont="1" applyFill="1" applyBorder="1" applyAlignment="1">
      <alignment vertical="center" wrapText="1"/>
    </xf>
    <xf numFmtId="166" fontId="2" fillId="2" borderId="32" xfId="0" applyNumberFormat="1" applyFont="1" applyFill="1" applyBorder="1" applyAlignment="1">
      <alignment vertical="center" wrapText="1"/>
    </xf>
    <xf numFmtId="166" fontId="2" fillId="2" borderId="15" xfId="0" applyNumberFormat="1" applyFont="1" applyFill="1" applyBorder="1" applyAlignment="1">
      <alignment vertical="center" wrapText="1"/>
    </xf>
    <xf numFmtId="166" fontId="2" fillId="2" borderId="16" xfId="0" applyNumberFormat="1" applyFont="1" applyFill="1" applyBorder="1" applyAlignment="1">
      <alignment vertical="center" wrapText="1"/>
    </xf>
    <xf numFmtId="166" fontId="2" fillId="2" borderId="33" xfId="0" applyNumberFormat="1" applyFont="1" applyFill="1" applyBorder="1" applyAlignment="1">
      <alignment vertical="center" wrapText="1"/>
    </xf>
    <xf numFmtId="166" fontId="2" fillId="2" borderId="17" xfId="0" applyNumberFormat="1" applyFont="1" applyFill="1" applyBorder="1" applyAlignment="1">
      <alignment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51" xfId="0" applyBorder="1"/>
    <xf numFmtId="0" fontId="0" fillId="0" borderId="53" xfId="0" applyBorder="1"/>
    <xf numFmtId="0" fontId="0" fillId="0" borderId="13" xfId="0" applyBorder="1"/>
    <xf numFmtId="0" fontId="0" fillId="0" borderId="15" xfId="0" applyBorder="1"/>
    <xf numFmtId="9" fontId="0" fillId="2" borderId="37" xfId="0" applyNumberFormat="1" applyFill="1" applyBorder="1" applyAlignment="1">
      <alignment horizontal="center" vertical="center" wrapText="1"/>
    </xf>
    <xf numFmtId="0" fontId="0" fillId="0" borderId="59" xfId="0" applyBorder="1"/>
    <xf numFmtId="0" fontId="0" fillId="0" borderId="1" xfId="0" applyFill="1" applyBorder="1"/>
    <xf numFmtId="0" fontId="0" fillId="2" borderId="16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9" fontId="0" fillId="2" borderId="47" xfId="0" applyNumberFormat="1" applyFill="1" applyBorder="1" applyAlignment="1">
      <alignment horizontal="center"/>
    </xf>
    <xf numFmtId="0" fontId="0" fillId="2" borderId="50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58" xfId="0" applyFill="1" applyBorder="1" applyAlignment="1">
      <alignment horizontal="center" vertical="center" wrapText="1"/>
    </xf>
    <xf numFmtId="0" fontId="2" fillId="0" borderId="37" xfId="0" applyFont="1" applyBorder="1"/>
    <xf numFmtId="0" fontId="2" fillId="2" borderId="5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40" xfId="0" applyFont="1" applyFill="1" applyBorder="1" applyAlignment="1">
      <alignment vertical="center" wrapText="1"/>
    </xf>
    <xf numFmtId="169" fontId="2" fillId="2" borderId="21" xfId="1" applyNumberFormat="1" applyFont="1" applyFill="1" applyBorder="1" applyAlignment="1">
      <alignment vertical="center" wrapText="1"/>
    </xf>
    <xf numFmtId="169" fontId="2" fillId="2" borderId="24" xfId="1" applyNumberFormat="1" applyFont="1" applyFill="1" applyBorder="1" applyAlignment="1">
      <alignment vertical="center" wrapText="1"/>
    </xf>
    <xf numFmtId="169" fontId="2" fillId="2" borderId="22" xfId="1" applyNumberFormat="1" applyFont="1" applyFill="1" applyBorder="1" applyAlignment="1">
      <alignment vertical="center" wrapText="1"/>
    </xf>
    <xf numFmtId="169" fontId="2" fillId="2" borderId="10" xfId="1" applyNumberFormat="1" applyFont="1" applyFill="1" applyBorder="1" applyAlignment="1">
      <alignment vertical="center" wrapText="1"/>
    </xf>
    <xf numFmtId="169" fontId="2" fillId="2" borderId="4" xfId="1" applyNumberFormat="1" applyFont="1" applyFill="1" applyBorder="1" applyAlignment="1">
      <alignment vertical="center" wrapText="1"/>
    </xf>
    <xf numFmtId="6" fontId="0" fillId="0" borderId="48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4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9" fontId="0" fillId="2" borderId="15" xfId="3" applyFont="1" applyFill="1" applyBorder="1"/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2" fillId="2" borderId="18" xfId="0" applyFont="1" applyFill="1" applyBorder="1"/>
    <xf numFmtId="44" fontId="2" fillId="2" borderId="36" xfId="2" applyFont="1" applyFill="1" applyBorder="1"/>
    <xf numFmtId="44" fontId="2" fillId="2" borderId="19" xfId="2" applyFont="1" applyFill="1" applyBorder="1"/>
    <xf numFmtId="0" fontId="0" fillId="0" borderId="21" xfId="0" applyFill="1" applyBorder="1"/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7" fontId="0" fillId="2" borderId="18" xfId="1" applyNumberFormat="1" applyFont="1" applyFill="1" applyBorder="1" applyAlignment="1">
      <alignment vertical="center"/>
    </xf>
    <xf numFmtId="167" fontId="0" fillId="2" borderId="36" xfId="1" applyNumberFormat="1" applyFont="1" applyFill="1" applyBorder="1" applyAlignment="1">
      <alignment vertical="center"/>
    </xf>
    <xf numFmtId="167" fontId="0" fillId="2" borderId="19" xfId="1" applyNumberFormat="1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8" fontId="0" fillId="2" borderId="6" xfId="0" applyNumberFormat="1" applyFont="1" applyFill="1" applyBorder="1" applyAlignment="1">
      <alignment vertical="center"/>
    </xf>
    <xf numFmtId="168" fontId="0" fillId="2" borderId="29" xfId="0" applyNumberFormat="1" applyFont="1" applyFill="1" applyBorder="1" applyAlignment="1">
      <alignment vertical="center"/>
    </xf>
    <xf numFmtId="168" fontId="0" fillId="2" borderId="7" xfId="0" applyNumberFormat="1" applyFont="1" applyFill="1" applyBorder="1" applyAlignment="1">
      <alignment vertical="center"/>
    </xf>
    <xf numFmtId="167" fontId="0" fillId="2" borderId="21" xfId="1" applyNumberFormat="1" applyFont="1" applyFill="1" applyBorder="1" applyAlignment="1">
      <alignment vertical="center"/>
    </xf>
    <xf numFmtId="167" fontId="0" fillId="2" borderId="24" xfId="1" applyNumberFormat="1" applyFont="1" applyFill="1" applyBorder="1" applyAlignment="1">
      <alignment vertical="center"/>
    </xf>
    <xf numFmtId="167" fontId="0" fillId="2" borderId="22" xfId="1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7" fontId="0" fillId="2" borderId="55" xfId="1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1" xfId="0" applyBorder="1"/>
    <xf numFmtId="0" fontId="0" fillId="0" borderId="62" xfId="0" applyBorder="1"/>
    <xf numFmtId="0" fontId="0" fillId="0" borderId="19" xfId="0" applyBorder="1"/>
    <xf numFmtId="165" fontId="0" fillId="0" borderId="14" xfId="1" applyNumberFormat="1" applyFont="1" applyBorder="1"/>
    <xf numFmtId="167" fontId="0" fillId="0" borderId="14" xfId="1" applyNumberFormat="1" applyFont="1" applyBorder="1"/>
    <xf numFmtId="167" fontId="2" fillId="2" borderId="14" xfId="0" applyNumberFormat="1" applyFont="1" applyFill="1" applyBorder="1"/>
    <xf numFmtId="0" fontId="2" fillId="2" borderId="15" xfId="0" applyFont="1" applyFill="1" applyBorder="1"/>
    <xf numFmtId="9" fontId="2" fillId="2" borderId="16" xfId="3" applyFont="1" applyFill="1" applyBorder="1"/>
    <xf numFmtId="0" fontId="2" fillId="2" borderId="17" xfId="0" applyFont="1" applyFill="1" applyBorder="1"/>
    <xf numFmtId="0" fontId="0" fillId="0" borderId="2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64" fontId="0" fillId="2" borderId="14" xfId="1" applyFont="1" applyFill="1" applyBorder="1" applyAlignment="1">
      <alignment horizontal="center" vertical="center" wrapText="1"/>
    </xf>
    <xf numFmtId="164" fontId="0" fillId="2" borderId="32" xfId="1" applyFont="1" applyFill="1" applyBorder="1" applyAlignment="1">
      <alignment horizontal="center" vertical="center" wrapText="1"/>
    </xf>
    <xf numFmtId="164" fontId="0" fillId="2" borderId="15" xfId="1" applyFont="1" applyFill="1" applyBorder="1" applyAlignment="1">
      <alignment horizontal="center" vertical="center" wrapText="1"/>
    </xf>
    <xf numFmtId="167" fontId="0" fillId="2" borderId="14" xfId="1" applyNumberFormat="1" applyFont="1" applyFill="1" applyBorder="1" applyAlignment="1">
      <alignment horizontal="center" vertical="center" wrapText="1"/>
    </xf>
    <xf numFmtId="167" fontId="0" fillId="2" borderId="32" xfId="1" applyNumberFormat="1" applyFont="1" applyFill="1" applyBorder="1" applyAlignment="1">
      <alignment horizontal="center" vertical="center" wrapText="1"/>
    </xf>
    <xf numFmtId="167" fontId="0" fillId="2" borderId="15" xfId="1" applyNumberFormat="1" applyFont="1" applyFill="1" applyBorder="1" applyAlignment="1">
      <alignment horizontal="center" vertical="center" wrapText="1"/>
    </xf>
    <xf numFmtId="164" fontId="0" fillId="2" borderId="18" xfId="1" applyFont="1" applyFill="1" applyBorder="1" applyAlignment="1">
      <alignment horizontal="center" vertical="center" wrapText="1"/>
    </xf>
    <xf numFmtId="164" fontId="0" fillId="2" borderId="36" xfId="1" applyFont="1" applyFill="1" applyBorder="1" applyAlignment="1">
      <alignment horizontal="center" vertical="center" wrapText="1"/>
    </xf>
    <xf numFmtId="164" fontId="0" fillId="2" borderId="19" xfId="1" applyFont="1" applyFill="1" applyBorder="1" applyAlignment="1">
      <alignment horizontal="center" vertical="center" wrapText="1"/>
    </xf>
    <xf numFmtId="164" fontId="0" fillId="2" borderId="18" xfId="1" applyNumberFormat="1" applyFont="1" applyFill="1" applyBorder="1" applyAlignment="1">
      <alignment horizontal="center" vertical="center" wrapText="1"/>
    </xf>
    <xf numFmtId="164" fontId="0" fillId="2" borderId="36" xfId="1" applyNumberFormat="1" applyFont="1" applyFill="1" applyBorder="1" applyAlignment="1">
      <alignment horizontal="center" vertical="center" wrapText="1"/>
    </xf>
    <xf numFmtId="164" fontId="0" fillId="2" borderId="19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59" xfId="0" applyFont="1" applyBorder="1"/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0" borderId="52" xfId="0" applyFont="1" applyBorder="1"/>
    <xf numFmtId="0" fontId="2" fillId="2" borderId="14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0" borderId="54" xfId="0" applyFont="1" applyBorder="1"/>
    <xf numFmtId="0" fontId="2" fillId="2" borderId="18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51" xfId="0" applyFont="1" applyFill="1" applyBorder="1"/>
    <xf numFmtId="164" fontId="0" fillId="2" borderId="6" xfId="1" applyFont="1" applyFill="1" applyBorder="1" applyAlignment="1">
      <alignment horizontal="center"/>
    </xf>
    <xf numFmtId="164" fontId="0" fillId="2" borderId="29" xfId="1" applyFont="1" applyFill="1" applyBorder="1" applyAlignment="1">
      <alignment horizontal="center"/>
    </xf>
    <xf numFmtId="164" fontId="0" fillId="2" borderId="58" xfId="1" applyFont="1" applyFill="1" applyBorder="1" applyAlignment="1">
      <alignment horizontal="center"/>
    </xf>
    <xf numFmtId="0" fontId="2" fillId="0" borderId="52" xfId="0" applyFont="1" applyFill="1" applyBorder="1"/>
    <xf numFmtId="164" fontId="0" fillId="2" borderId="37" xfId="1" applyFont="1" applyFill="1" applyBorder="1" applyAlignment="1">
      <alignment horizontal="center"/>
    </xf>
    <xf numFmtId="164" fontId="0" fillId="2" borderId="47" xfId="1" applyFont="1" applyFill="1" applyBorder="1" applyAlignment="1">
      <alignment horizontal="center"/>
    </xf>
    <xf numFmtId="164" fontId="0" fillId="0" borderId="48" xfId="1" applyFont="1" applyFill="1" applyBorder="1" applyAlignment="1">
      <alignment horizontal="center"/>
    </xf>
    <xf numFmtId="0" fontId="0" fillId="2" borderId="12" xfId="1" applyNumberFormat="1" applyFont="1" applyFill="1" applyBorder="1" applyAlignment="1">
      <alignment horizontal="center"/>
    </xf>
    <xf numFmtId="0" fontId="0" fillId="2" borderId="31" xfId="1" applyNumberFormat="1" applyFont="1" applyFill="1" applyBorder="1" applyAlignment="1">
      <alignment horizontal="center"/>
    </xf>
    <xf numFmtId="0" fontId="0" fillId="2" borderId="25" xfId="1" applyNumberFormat="1" applyFont="1" applyFill="1" applyBorder="1" applyAlignment="1">
      <alignment horizontal="center"/>
    </xf>
    <xf numFmtId="0" fontId="2" fillId="0" borderId="54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0" fillId="2" borderId="18" xfId="1" applyNumberFormat="1" applyFont="1" applyFill="1" applyBorder="1" applyAlignment="1">
      <alignment horizontal="center"/>
    </xf>
    <xf numFmtId="0" fontId="0" fillId="2" borderId="36" xfId="1" applyNumberFormat="1" applyFont="1" applyFill="1" applyBorder="1" applyAlignment="1">
      <alignment horizontal="center"/>
    </xf>
    <xf numFmtId="0" fontId="0" fillId="2" borderId="27" xfId="1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64" fontId="0" fillId="2" borderId="60" xfId="1" applyFont="1" applyFill="1" applyBorder="1" applyAlignment="1">
      <alignment horizontal="center"/>
    </xf>
    <xf numFmtId="0" fontId="0" fillId="0" borderId="13" xfId="0" applyFill="1" applyBorder="1"/>
    <xf numFmtId="0" fontId="2" fillId="2" borderId="19" xfId="0" applyFont="1" applyFill="1" applyBorder="1"/>
    <xf numFmtId="9" fontId="2" fillId="2" borderId="18" xfId="3" applyFont="1" applyFill="1" applyBorder="1"/>
    <xf numFmtId="167" fontId="0" fillId="0" borderId="12" xfId="0" applyNumberFormat="1" applyBorder="1"/>
    <xf numFmtId="0" fontId="0" fillId="0" borderId="51" xfId="0" applyFont="1" applyBorder="1"/>
    <xf numFmtId="0" fontId="0" fillId="0" borderId="52" xfId="0" applyFont="1" applyBorder="1"/>
    <xf numFmtId="0" fontId="0" fillId="0" borderId="54" xfId="0" applyFont="1" applyBorder="1"/>
    <xf numFmtId="9" fontId="0" fillId="0" borderId="44" xfId="1" applyNumberFormat="1" applyFont="1" applyBorder="1" applyAlignment="1">
      <alignment horizontal="center" vertical="center" wrapText="1"/>
    </xf>
    <xf numFmtId="9" fontId="0" fillId="0" borderId="45" xfId="1" applyNumberFormat="1" applyFont="1" applyBorder="1" applyAlignment="1">
      <alignment horizontal="center" vertical="center" wrapText="1"/>
    </xf>
    <xf numFmtId="9" fontId="0" fillId="0" borderId="46" xfId="1" applyNumberFormat="1" applyFont="1" applyBorder="1" applyAlignment="1">
      <alignment horizontal="center" vertical="center" wrapText="1"/>
    </xf>
    <xf numFmtId="164" fontId="0" fillId="2" borderId="50" xfId="1" applyNumberFormat="1" applyFont="1" applyFill="1" applyBorder="1" applyAlignment="1">
      <alignment vertical="center" wrapText="1"/>
    </xf>
    <xf numFmtId="164" fontId="0" fillId="2" borderId="29" xfId="1" applyNumberFormat="1" applyFont="1" applyFill="1" applyBorder="1" applyAlignment="1">
      <alignment vertical="center" wrapText="1"/>
    </xf>
    <xf numFmtId="164" fontId="0" fillId="2" borderId="7" xfId="1" applyNumberFormat="1" applyFont="1" applyFill="1" applyBorder="1" applyAlignment="1">
      <alignment vertical="center" wrapText="1"/>
    </xf>
    <xf numFmtId="0" fontId="0" fillId="0" borderId="12" xfId="3" quotePrefix="1" applyNumberFormat="1" applyFont="1" applyBorder="1" applyAlignment="1">
      <alignment horizontal="center" vertical="center" wrapText="1"/>
    </xf>
    <xf numFmtId="0" fontId="0" fillId="0" borderId="31" xfId="3" applyNumberFormat="1" applyFont="1" applyBorder="1" applyAlignment="1">
      <alignment horizontal="center" vertical="center" wrapText="1"/>
    </xf>
    <xf numFmtId="0" fontId="0" fillId="0" borderId="13" xfId="3" applyNumberFormat="1" applyFont="1" applyBorder="1" applyAlignment="1">
      <alignment horizontal="center" vertical="center" wrapText="1"/>
    </xf>
    <xf numFmtId="9" fontId="0" fillId="0" borderId="12" xfId="3" quotePrefix="1" applyNumberFormat="1" applyFont="1" applyBorder="1" applyAlignment="1">
      <alignment horizontal="center" vertical="center" wrapText="1"/>
    </xf>
    <xf numFmtId="169" fontId="2" fillId="2" borderId="6" xfId="1" applyNumberFormat="1" applyFont="1" applyFill="1" applyBorder="1" applyAlignment="1">
      <alignment vertical="center" wrapText="1"/>
    </xf>
    <xf numFmtId="169" fontId="2" fillId="2" borderId="29" xfId="1" applyNumberFormat="1" applyFont="1" applyFill="1" applyBorder="1" applyAlignment="1">
      <alignment vertical="center" wrapText="1"/>
    </xf>
    <xf numFmtId="169" fontId="2" fillId="2" borderId="7" xfId="1" applyNumberFormat="1" applyFont="1" applyFill="1" applyBorder="1" applyAlignment="1">
      <alignment vertical="center" wrapText="1"/>
    </xf>
    <xf numFmtId="169" fontId="2" fillId="2" borderId="28" xfId="1" applyNumberFormat="1" applyFont="1" applyFill="1" applyBorder="1" applyAlignment="1">
      <alignment vertical="center" wrapText="1"/>
    </xf>
    <xf numFmtId="169" fontId="2" fillId="2" borderId="11" xfId="1" applyNumberFormat="1" applyFont="1" applyFill="1" applyBorder="1" applyAlignment="1">
      <alignment vertical="center" wrapText="1"/>
    </xf>
    <xf numFmtId="9" fontId="0" fillId="0" borderId="31" xfId="3" quotePrefix="1" applyNumberFormat="1" applyFont="1" applyBorder="1" applyAlignment="1">
      <alignment horizontal="center" vertical="center" wrapText="1"/>
    </xf>
    <xf numFmtId="9" fontId="0" fillId="0" borderId="13" xfId="3" quotePrefix="1" applyNumberFormat="1" applyFont="1" applyBorder="1" applyAlignment="1">
      <alignment horizontal="center" vertical="center" wrapText="1"/>
    </xf>
    <xf numFmtId="167" fontId="0" fillId="0" borderId="14" xfId="1" applyNumberFormat="1" applyFont="1" applyBorder="1" applyAlignment="1">
      <alignment vertical="center" wrapText="1"/>
    </xf>
    <xf numFmtId="167" fontId="0" fillId="0" borderId="32" xfId="1" applyNumberFormat="1" applyFont="1" applyBorder="1" applyAlignment="1">
      <alignment vertical="center" wrapText="1"/>
    </xf>
    <xf numFmtId="167" fontId="0" fillId="0" borderId="15" xfId="1" applyNumberFormat="1" applyFont="1" applyBorder="1" applyAlignment="1">
      <alignment vertical="center" wrapText="1"/>
    </xf>
    <xf numFmtId="0" fontId="0" fillId="0" borderId="53" xfId="0" applyFont="1" applyFill="1" applyBorder="1"/>
    <xf numFmtId="167" fontId="0" fillId="0" borderId="38" xfId="1" applyNumberFormat="1" applyFont="1" applyBorder="1"/>
    <xf numFmtId="167" fontId="0" fillId="0" borderId="12" xfId="1" applyNumberFormat="1" applyFont="1" applyBorder="1"/>
    <xf numFmtId="167" fontId="0" fillId="0" borderId="39" xfId="1" applyNumberFormat="1" applyFont="1" applyBorder="1"/>
    <xf numFmtId="0" fontId="0" fillId="0" borderId="65" xfId="0" applyBorder="1"/>
    <xf numFmtId="0" fontId="0" fillId="0" borderId="64" xfId="0" applyBorder="1"/>
    <xf numFmtId="0" fontId="2" fillId="2" borderId="64" xfId="0" applyFont="1" applyFill="1" applyBorder="1"/>
    <xf numFmtId="0" fontId="2" fillId="2" borderId="66" xfId="0" applyFont="1" applyFill="1" applyBorder="1"/>
    <xf numFmtId="0" fontId="0" fillId="0" borderId="63" xfId="0" applyFill="1" applyBorder="1"/>
    <xf numFmtId="0" fontId="0" fillId="0" borderId="64" xfId="0" applyFill="1" applyBorder="1"/>
    <xf numFmtId="0" fontId="2" fillId="2" borderId="67" xfId="0" applyFont="1" applyFill="1" applyBorder="1"/>
    <xf numFmtId="9" fontId="0" fillId="0" borderId="0" xfId="0" applyNumberFormat="1"/>
    <xf numFmtId="44" fontId="0" fillId="2" borderId="40" xfId="0" applyNumberFormat="1" applyFill="1" applyBorder="1" applyAlignment="1">
      <alignment vertical="center" wrapText="1"/>
    </xf>
    <xf numFmtId="44" fontId="0" fillId="2" borderId="32" xfId="0" applyNumberFormat="1" applyFill="1" applyBorder="1" applyAlignment="1">
      <alignment vertical="center" wrapText="1"/>
    </xf>
    <xf numFmtId="44" fontId="0" fillId="2" borderId="15" xfId="0" applyNumberFormat="1" applyFill="1" applyBorder="1" applyAlignment="1">
      <alignment vertical="center" wrapText="1"/>
    </xf>
    <xf numFmtId="44" fontId="0" fillId="2" borderId="38" xfId="0" applyNumberFormat="1" applyFill="1" applyBorder="1" applyAlignment="1">
      <alignment vertical="center" wrapText="1"/>
    </xf>
    <xf numFmtId="44" fontId="0" fillId="2" borderId="36" xfId="0" applyNumberFormat="1" applyFill="1" applyBorder="1" applyAlignment="1">
      <alignment vertical="center" wrapText="1"/>
    </xf>
    <xf numFmtId="44" fontId="0" fillId="2" borderId="19" xfId="0" applyNumberFormat="1" applyFill="1" applyBorder="1" applyAlignment="1">
      <alignment vertical="center" wrapText="1"/>
    </xf>
    <xf numFmtId="167" fontId="0" fillId="2" borderId="55" xfId="0" applyNumberFormat="1" applyFill="1" applyBorder="1"/>
    <xf numFmtId="167" fontId="0" fillId="0" borderId="0" xfId="1" applyNumberFormat="1" applyFont="1"/>
    <xf numFmtId="0" fontId="0" fillId="3" borderId="37" xfId="0" applyFill="1" applyBorder="1" applyAlignment="1">
      <alignment horizontal="center" vertical="center" wrapText="1"/>
    </xf>
    <xf numFmtId="9" fontId="0" fillId="3" borderId="50" xfId="0" applyNumberFormat="1" applyFill="1" applyBorder="1" applyAlignment="1">
      <alignment horizontal="center" vertical="center" wrapText="1"/>
    </xf>
    <xf numFmtId="9" fontId="0" fillId="3" borderId="29" xfId="0" applyNumberFormat="1" applyFill="1" applyBorder="1" applyAlignment="1">
      <alignment horizontal="center" vertical="center" wrapText="1"/>
    </xf>
    <xf numFmtId="9" fontId="0" fillId="3" borderId="58" xfId="0" applyNumberFormat="1" applyFill="1" applyBorder="1" applyAlignment="1">
      <alignment horizontal="center" vertical="center" wrapText="1"/>
    </xf>
    <xf numFmtId="0" fontId="2" fillId="3" borderId="37" xfId="0" applyFont="1" applyFill="1" applyBorder="1"/>
    <xf numFmtId="9" fontId="0" fillId="3" borderId="12" xfId="0" applyNumberFormat="1" applyFill="1" applyBorder="1" applyAlignment="1">
      <alignment horizontal="center"/>
    </xf>
    <xf numFmtId="9" fontId="0" fillId="3" borderId="31" xfId="0" applyNumberFormat="1" applyFill="1" applyBorder="1" applyAlignment="1">
      <alignment horizontal="center"/>
    </xf>
    <xf numFmtId="9" fontId="0" fillId="3" borderId="25" xfId="0" applyNumberFormat="1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9" fontId="2" fillId="3" borderId="55" xfId="0" applyNumberFormat="1" applyFont="1" applyFill="1" applyBorder="1"/>
    <xf numFmtId="9" fontId="2" fillId="3" borderId="48" xfId="0" applyNumberFormat="1" applyFont="1" applyFill="1" applyBorder="1"/>
    <xf numFmtId="9" fontId="2" fillId="3" borderId="60" xfId="0" applyNumberFormat="1" applyFont="1" applyFill="1" applyBorder="1"/>
    <xf numFmtId="9" fontId="0" fillId="3" borderId="14" xfId="3" applyFont="1" applyFill="1" applyBorder="1" applyAlignment="1">
      <alignment horizontal="center"/>
    </xf>
    <xf numFmtId="9" fontId="0" fillId="3" borderId="32" xfId="3" applyFont="1" applyFill="1" applyBorder="1" applyAlignment="1">
      <alignment horizontal="center"/>
    </xf>
    <xf numFmtId="9" fontId="0" fillId="3" borderId="26" xfId="3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3" fillId="4" borderId="47" xfId="0" applyNumberFormat="1" applyFont="1" applyFill="1" applyBorder="1"/>
    <xf numFmtId="0" fontId="0" fillId="4" borderId="49" xfId="0" applyFill="1" applyBorder="1"/>
    <xf numFmtId="167" fontId="0" fillId="5" borderId="32" xfId="1" applyNumberFormat="1" applyFont="1" applyFill="1" applyBorder="1"/>
    <xf numFmtId="167" fontId="0" fillId="5" borderId="15" xfId="1" applyNumberFormat="1" applyFont="1" applyFill="1" applyBorder="1"/>
    <xf numFmtId="0" fontId="0" fillId="5" borderId="32" xfId="2" applyNumberFormat="1" applyFont="1" applyFill="1" applyBorder="1" applyAlignment="1">
      <alignment horizontal="center"/>
    </xf>
    <xf numFmtId="0" fontId="0" fillId="5" borderId="15" xfId="2" applyNumberFormat="1" applyFont="1" applyFill="1" applyBorder="1" applyAlignment="1">
      <alignment horizontal="center"/>
    </xf>
    <xf numFmtId="9" fontId="0" fillId="5" borderId="32" xfId="3" applyFont="1" applyFill="1" applyBorder="1"/>
    <xf numFmtId="44" fontId="0" fillId="5" borderId="32" xfId="2" applyFont="1" applyFill="1" applyBorder="1"/>
    <xf numFmtId="44" fontId="0" fillId="5" borderId="15" xfId="2" applyFont="1" applyFill="1" applyBorder="1"/>
    <xf numFmtId="0" fontId="0" fillId="5" borderId="49" xfId="0" applyFill="1" applyBorder="1"/>
    <xf numFmtId="164" fontId="0" fillId="5" borderId="44" xfId="1" applyNumberFormat="1" applyFont="1" applyFill="1" applyBorder="1" applyAlignment="1">
      <alignment vertical="center" wrapText="1"/>
    </xf>
    <xf numFmtId="164" fontId="0" fillId="5" borderId="45" xfId="1" applyNumberFormat="1" applyFont="1" applyFill="1" applyBorder="1" applyAlignment="1">
      <alignment vertical="center" wrapText="1"/>
    </xf>
    <xf numFmtId="164" fontId="0" fillId="5" borderId="46" xfId="1" applyNumberFormat="1" applyFont="1" applyFill="1" applyBorder="1" applyAlignment="1">
      <alignment vertical="center" wrapText="1"/>
    </xf>
    <xf numFmtId="164" fontId="0" fillId="5" borderId="14" xfId="1" applyNumberFormat="1" applyFont="1" applyFill="1" applyBorder="1" applyAlignment="1">
      <alignment vertical="center" wrapText="1"/>
    </xf>
    <xf numFmtId="164" fontId="0" fillId="5" borderId="32" xfId="1" applyNumberFormat="1" applyFont="1" applyFill="1" applyBorder="1" applyAlignment="1">
      <alignment vertical="center" wrapText="1"/>
    </xf>
    <xf numFmtId="164" fontId="0" fillId="5" borderId="15" xfId="1" applyNumberFormat="1" applyFont="1" applyFill="1" applyBorder="1" applyAlignment="1">
      <alignment vertical="center" wrapText="1"/>
    </xf>
    <xf numFmtId="164" fontId="0" fillId="5" borderId="12" xfId="1" applyNumberFormat="1" applyFont="1" applyFill="1" applyBorder="1" applyAlignment="1">
      <alignment vertical="center" wrapText="1"/>
    </xf>
    <xf numFmtId="164" fontId="0" fillId="5" borderId="18" xfId="1" applyNumberFormat="1" applyFont="1" applyFill="1" applyBorder="1" applyAlignment="1">
      <alignment vertical="center" wrapText="1"/>
    </xf>
    <xf numFmtId="164" fontId="0" fillId="5" borderId="36" xfId="1" applyNumberFormat="1" applyFont="1" applyFill="1" applyBorder="1" applyAlignment="1">
      <alignment vertical="center" wrapText="1"/>
    </xf>
    <xf numFmtId="164" fontId="0" fillId="5" borderId="31" xfId="1" applyNumberFormat="1" applyFont="1" applyFill="1" applyBorder="1" applyAlignment="1">
      <alignment vertical="center" wrapText="1"/>
    </xf>
    <xf numFmtId="164" fontId="0" fillId="5" borderId="13" xfId="1" applyNumberFormat="1" applyFont="1" applyFill="1" applyBorder="1" applyAlignment="1">
      <alignment vertical="center" wrapText="1"/>
    </xf>
    <xf numFmtId="164" fontId="0" fillId="5" borderId="19" xfId="1" applyNumberFormat="1" applyFont="1" applyFill="1" applyBorder="1" applyAlignment="1">
      <alignment vertical="center" wrapText="1"/>
    </xf>
    <xf numFmtId="9" fontId="0" fillId="5" borderId="12" xfId="0" applyNumberFormat="1" applyFill="1" applyBorder="1" applyAlignment="1">
      <alignment horizontal="center" vertical="center" wrapText="1"/>
    </xf>
    <xf numFmtId="9" fontId="0" fillId="5" borderId="18" xfId="0" applyNumberFormat="1" applyFill="1" applyBorder="1" applyAlignment="1">
      <alignment horizontal="center" vertical="center" wrapText="1"/>
    </xf>
    <xf numFmtId="9" fontId="0" fillId="5" borderId="36" xfId="0" applyNumberFormat="1" applyFill="1" applyBorder="1" applyAlignment="1">
      <alignment horizontal="center" vertical="center" wrapText="1"/>
    </xf>
    <xf numFmtId="9" fontId="0" fillId="5" borderId="31" xfId="0" applyNumberFormat="1" applyFill="1" applyBorder="1" applyAlignment="1">
      <alignment horizontal="center" vertical="center" wrapText="1"/>
    </xf>
    <xf numFmtId="9" fontId="0" fillId="5" borderId="13" xfId="0" applyNumberFormat="1" applyFill="1" applyBorder="1" applyAlignment="1">
      <alignment horizontal="center" vertical="center" wrapText="1"/>
    </xf>
    <xf numFmtId="9" fontId="0" fillId="5" borderId="19" xfId="0" applyNumberFormat="1" applyFill="1" applyBorder="1" applyAlignment="1">
      <alignment horizontal="center" vertical="center" wrapText="1"/>
    </xf>
    <xf numFmtId="9" fontId="0" fillId="5" borderId="39" xfId="0" applyNumberFormat="1" applyFill="1" applyBorder="1" applyAlignment="1">
      <alignment vertical="center"/>
    </xf>
    <xf numFmtId="9" fontId="0" fillId="5" borderId="40" xfId="0" applyNumberFormat="1" applyFill="1" applyBorder="1" applyAlignment="1">
      <alignment vertical="center"/>
    </xf>
    <xf numFmtId="9" fontId="0" fillId="5" borderId="38" xfId="0" applyNumberFormat="1" applyFill="1" applyBorder="1" applyAlignment="1">
      <alignment vertical="center"/>
    </xf>
    <xf numFmtId="9" fontId="0" fillId="5" borderId="36" xfId="0" applyNumberFormat="1" applyFill="1" applyBorder="1" applyAlignment="1">
      <alignment vertical="center"/>
    </xf>
    <xf numFmtId="9" fontId="0" fillId="5" borderId="32" xfId="0" applyNumberFormat="1" applyFill="1" applyBorder="1" applyAlignment="1">
      <alignment vertical="center"/>
    </xf>
    <xf numFmtId="9" fontId="0" fillId="5" borderId="31" xfId="0" applyNumberFormat="1" applyFill="1" applyBorder="1" applyAlignment="1">
      <alignment vertical="center"/>
    </xf>
    <xf numFmtId="9" fontId="0" fillId="5" borderId="13" xfId="0" applyNumberFormat="1" applyFill="1" applyBorder="1" applyAlignment="1">
      <alignment vertical="center"/>
    </xf>
    <xf numFmtId="9" fontId="0" fillId="5" borderId="15" xfId="0" applyNumberFormat="1" applyFill="1" applyBorder="1" applyAlignment="1">
      <alignment vertical="center"/>
    </xf>
    <xf numFmtId="9" fontId="0" fillId="5" borderId="19" xfId="0" applyNumberFormat="1" applyFill="1" applyBorder="1" applyAlignment="1">
      <alignment vertical="center"/>
    </xf>
    <xf numFmtId="9" fontId="0" fillId="5" borderId="15" xfId="0" applyNumberFormat="1" applyFill="1" applyBorder="1" applyAlignment="1">
      <alignment horizontal="center" vertical="center" wrapText="1"/>
    </xf>
    <xf numFmtId="9" fontId="0" fillId="5" borderId="32" xfId="0" applyNumberFormat="1" applyFill="1" applyBorder="1" applyAlignment="1">
      <alignment horizontal="center" vertical="center" wrapText="1"/>
    </xf>
    <xf numFmtId="9" fontId="0" fillId="5" borderId="14" xfId="0" applyNumberFormat="1" applyFill="1" applyBorder="1" applyAlignment="1">
      <alignment horizontal="center" vertical="center" wrapText="1"/>
    </xf>
    <xf numFmtId="6" fontId="0" fillId="5" borderId="48" xfId="0" applyNumberFormat="1" applyFill="1" applyBorder="1" applyAlignment="1">
      <alignment horizontal="center" vertical="center" wrapText="1"/>
    </xf>
    <xf numFmtId="9" fontId="0" fillId="5" borderId="12" xfId="0" applyNumberFormat="1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9" fontId="0" fillId="5" borderId="8" xfId="3" applyFont="1" applyFill="1" applyBorder="1" applyAlignment="1">
      <alignment horizontal="center" vertical="center"/>
    </xf>
    <xf numFmtId="9" fontId="0" fillId="5" borderId="30" xfId="3" applyFont="1" applyFill="1" applyBorder="1" applyAlignment="1">
      <alignment horizontal="center" vertical="center"/>
    </xf>
    <xf numFmtId="9" fontId="0" fillId="5" borderId="9" xfId="3" applyFont="1" applyFill="1" applyBorder="1" applyAlignment="1">
      <alignment horizontal="center" vertical="center"/>
    </xf>
    <xf numFmtId="164" fontId="0" fillId="2" borderId="39" xfId="0" applyNumberFormat="1" applyFill="1" applyBorder="1" applyAlignment="1">
      <alignment vertical="center" wrapText="1"/>
    </xf>
    <xf numFmtId="164" fontId="0" fillId="2" borderId="31" xfId="0" applyNumberFormat="1" applyFill="1" applyBorder="1" applyAlignment="1">
      <alignment vertical="center" wrapText="1"/>
    </xf>
    <xf numFmtId="164" fontId="0" fillId="2" borderId="13" xfId="0" applyNumberFormat="1" applyFill="1" applyBorder="1" applyAlignment="1">
      <alignment vertical="center" wrapText="1"/>
    </xf>
    <xf numFmtId="164" fontId="0" fillId="2" borderId="40" xfId="0" applyNumberFormat="1" applyFill="1" applyBorder="1" applyAlignment="1">
      <alignment vertical="center" wrapText="1"/>
    </xf>
    <xf numFmtId="164" fontId="0" fillId="2" borderId="32" xfId="0" applyNumberFormat="1" applyFill="1" applyBorder="1" applyAlignment="1">
      <alignment vertical="center" wrapText="1"/>
    </xf>
    <xf numFmtId="164" fontId="0" fillId="2" borderId="15" xfId="0" applyNumberFormat="1" applyFill="1" applyBorder="1" applyAlignment="1">
      <alignment vertical="center" wrapText="1"/>
    </xf>
    <xf numFmtId="9" fontId="0" fillId="5" borderId="12" xfId="3" applyFont="1" applyFill="1" applyBorder="1" applyAlignment="1">
      <alignment vertical="center" wrapText="1"/>
    </xf>
    <xf numFmtId="9" fontId="0" fillId="5" borderId="31" xfId="3" applyFont="1" applyFill="1" applyBorder="1" applyAlignment="1">
      <alignment vertical="center" wrapText="1"/>
    </xf>
    <xf numFmtId="9" fontId="0" fillId="5" borderId="13" xfId="3" applyFont="1" applyFill="1" applyBorder="1" applyAlignment="1">
      <alignment vertical="center" wrapText="1"/>
    </xf>
    <xf numFmtId="167" fontId="0" fillId="5" borderId="44" xfId="1" applyNumberFormat="1" applyFont="1" applyFill="1" applyBorder="1" applyAlignment="1">
      <alignment vertical="center" wrapText="1"/>
    </xf>
    <xf numFmtId="167" fontId="0" fillId="5" borderId="45" xfId="1" applyNumberFormat="1" applyFont="1" applyFill="1" applyBorder="1" applyAlignment="1">
      <alignment vertical="center" wrapText="1"/>
    </xf>
    <xf numFmtId="167" fontId="0" fillId="5" borderId="46" xfId="1" applyNumberFormat="1" applyFont="1" applyFill="1" applyBorder="1" applyAlignment="1">
      <alignment vertical="center" wrapText="1"/>
    </xf>
    <xf numFmtId="164" fontId="0" fillId="5" borderId="14" xfId="1" applyFont="1" applyFill="1" applyBorder="1" applyAlignment="1">
      <alignment horizontal="center" vertical="center" wrapText="1"/>
    </xf>
    <xf numFmtId="164" fontId="0" fillId="5" borderId="32" xfId="1" applyFont="1" applyFill="1" applyBorder="1" applyAlignment="1">
      <alignment horizontal="center" vertical="center" wrapText="1"/>
    </xf>
    <xf numFmtId="164" fontId="0" fillId="5" borderId="15" xfId="1" applyFont="1" applyFill="1" applyBorder="1" applyAlignment="1">
      <alignment horizontal="center" vertical="center" wrapText="1"/>
    </xf>
    <xf numFmtId="167" fontId="0" fillId="2" borderId="44" xfId="1" applyNumberFormat="1" applyFont="1" applyFill="1" applyBorder="1" applyAlignment="1">
      <alignment vertical="center" wrapText="1"/>
    </xf>
    <xf numFmtId="167" fontId="0" fillId="2" borderId="45" xfId="1" applyNumberFormat="1" applyFont="1" applyFill="1" applyBorder="1" applyAlignment="1">
      <alignment vertical="center" wrapText="1"/>
    </xf>
    <xf numFmtId="167" fontId="0" fillId="2" borderId="46" xfId="1" applyNumberFormat="1" applyFont="1" applyFill="1" applyBorder="1" applyAlignment="1">
      <alignment vertical="center" wrapText="1"/>
    </xf>
    <xf numFmtId="164" fontId="0" fillId="2" borderId="16" xfId="1" applyNumberFormat="1" applyFont="1" applyFill="1" applyBorder="1" applyAlignment="1">
      <alignment vertical="center" wrapText="1"/>
    </xf>
    <xf numFmtId="164" fontId="0" fillId="2" borderId="33" xfId="1" applyNumberFormat="1" applyFont="1" applyFill="1" applyBorder="1" applyAlignment="1">
      <alignment vertical="center" wrapText="1"/>
    </xf>
    <xf numFmtId="164" fontId="0" fillId="2" borderId="17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168" fontId="0" fillId="0" borderId="23" xfId="1" applyNumberFormat="1" applyFont="1" applyBorder="1" applyAlignment="1">
      <alignment horizontal="center"/>
    </xf>
    <xf numFmtId="168" fontId="0" fillId="0" borderId="20" xfId="1" applyNumberFormat="1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3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2" borderId="41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opLeftCell="A10" workbookViewId="0">
      <selection activeCell="E17" sqref="E17"/>
    </sheetView>
  </sheetViews>
  <sheetFormatPr baseColWidth="10" defaultRowHeight="14.4" x14ac:dyDescent="0.3"/>
  <cols>
    <col min="1" max="1" width="57.33203125" customWidth="1"/>
    <col min="2" max="2" width="14.77734375" bestFit="1" customWidth="1"/>
    <col min="3" max="3" width="13.44140625" customWidth="1"/>
  </cols>
  <sheetData>
    <row r="1" spans="1:5" ht="15" thickBot="1" x14ac:dyDescent="0.35"/>
    <row r="2" spans="1:5" ht="15.6" thickTop="1" thickBot="1" x14ac:dyDescent="0.35">
      <c r="A2" s="331" t="s">
        <v>100</v>
      </c>
      <c r="B2" s="332"/>
      <c r="C2" s="333"/>
    </row>
    <row r="3" spans="1:5" ht="15" thickTop="1" x14ac:dyDescent="0.3">
      <c r="A3" s="39"/>
      <c r="B3" s="40" t="s">
        <v>40</v>
      </c>
      <c r="C3" s="41" t="s">
        <v>41</v>
      </c>
    </row>
    <row r="4" spans="1:5" x14ac:dyDescent="0.3">
      <c r="A4" s="42" t="s">
        <v>38</v>
      </c>
      <c r="B4" s="269">
        <v>70000</v>
      </c>
      <c r="C4" s="270">
        <v>50000</v>
      </c>
    </row>
    <row r="5" spans="1:5" x14ac:dyDescent="0.3">
      <c r="A5" s="42" t="s">
        <v>95</v>
      </c>
      <c r="B5" s="264">
        <v>45</v>
      </c>
      <c r="C5" s="265">
        <v>45</v>
      </c>
    </row>
    <row r="6" spans="1:5" x14ac:dyDescent="0.3">
      <c r="A6" s="42" t="s">
        <v>96</v>
      </c>
      <c r="B6" s="268">
        <v>0.25</v>
      </c>
      <c r="C6" s="105">
        <f>1-B6</f>
        <v>0.75</v>
      </c>
    </row>
    <row r="7" spans="1:5" x14ac:dyDescent="0.3">
      <c r="A7" s="42" t="s">
        <v>101</v>
      </c>
      <c r="B7" s="264">
        <v>200</v>
      </c>
      <c r="C7" s="265">
        <v>800</v>
      </c>
    </row>
    <row r="8" spans="1:5" x14ac:dyDescent="0.3">
      <c r="A8" s="42" t="s">
        <v>39</v>
      </c>
      <c r="B8" s="266">
        <v>1550</v>
      </c>
      <c r="C8" s="267">
        <v>1550</v>
      </c>
    </row>
    <row r="9" spans="1:5" ht="15" thickBot="1" x14ac:dyDescent="0.35">
      <c r="A9" s="112" t="s">
        <v>99</v>
      </c>
      <c r="B9" s="113">
        <f>B4/B8</f>
        <v>45.161290322580648</v>
      </c>
      <c r="C9" s="114">
        <f>C4/C8</f>
        <v>32.258064516129032</v>
      </c>
    </row>
    <row r="10" spans="1:5" ht="15.6" thickTop="1" thickBot="1" x14ac:dyDescent="0.35">
      <c r="A10" s="115" t="s">
        <v>98</v>
      </c>
      <c r="B10" s="336">
        <f>(B9*B8*B7+C9*C8*C7)/(B8*B7+C8*C7)</f>
        <v>34.838709677419352</v>
      </c>
      <c r="C10" s="337"/>
    </row>
    <row r="11" spans="1:5" ht="15.6" thickTop="1" thickBot="1" x14ac:dyDescent="0.35"/>
    <row r="12" spans="1:5" ht="58.8" thickTop="1" thickBot="1" x14ac:dyDescent="0.35">
      <c r="A12" s="23" t="s">
        <v>161</v>
      </c>
      <c r="B12" s="68" t="s">
        <v>5</v>
      </c>
      <c r="C12" s="16" t="s">
        <v>6</v>
      </c>
      <c r="D12" s="67" t="s">
        <v>7</v>
      </c>
      <c r="E12" s="70" t="s">
        <v>52</v>
      </c>
    </row>
    <row r="13" spans="1:5" ht="15.6" thickTop="1" thickBot="1" x14ac:dyDescent="0.35">
      <c r="A13" s="69" t="s">
        <v>56</v>
      </c>
      <c r="B13" s="82">
        <f>$E13*B14</f>
        <v>1250</v>
      </c>
      <c r="C13" s="83">
        <f>$E13*C14</f>
        <v>750</v>
      </c>
      <c r="D13" s="84">
        <f>$E13*D14</f>
        <v>500</v>
      </c>
      <c r="E13" s="241">
        <v>2500</v>
      </c>
    </row>
    <row r="14" spans="1:5" ht="15.6" thickTop="1" thickBot="1" x14ac:dyDescent="0.35">
      <c r="A14" s="69" t="s">
        <v>55</v>
      </c>
      <c r="B14" s="242">
        <v>0.5</v>
      </c>
      <c r="C14" s="243">
        <v>0.3</v>
      </c>
      <c r="D14" s="244">
        <v>0.2</v>
      </c>
      <c r="E14" s="75">
        <f>SUM(B14:D14)</f>
        <v>1</v>
      </c>
    </row>
    <row r="15" spans="1:5" ht="15.6" thickTop="1" thickBot="1" x14ac:dyDescent="0.35">
      <c r="A15" s="85" t="s">
        <v>50</v>
      </c>
      <c r="B15" s="86">
        <f>$E15*B14</f>
        <v>150</v>
      </c>
      <c r="C15" s="87">
        <f t="shared" ref="C15:D15" si="0">$E15*C14</f>
        <v>90</v>
      </c>
      <c r="D15" s="88">
        <f t="shared" si="0"/>
        <v>60</v>
      </c>
      <c r="E15" s="245">
        <v>300</v>
      </c>
    </row>
    <row r="16" spans="1:5" ht="15" thickTop="1" x14ac:dyDescent="0.3">
      <c r="A16" s="71" t="s">
        <v>58</v>
      </c>
      <c r="B16" s="246">
        <v>0.5</v>
      </c>
      <c r="C16" s="247">
        <v>0.3</v>
      </c>
      <c r="D16" s="248">
        <v>0.2</v>
      </c>
      <c r="E16" s="81">
        <f>SUM(B16:D16)</f>
        <v>1</v>
      </c>
    </row>
    <row r="17" spans="1:6" ht="15" thickBot="1" x14ac:dyDescent="0.35">
      <c r="A17" s="72" t="s">
        <v>59</v>
      </c>
      <c r="B17" s="78">
        <f>$E17*B16</f>
        <v>1500</v>
      </c>
      <c r="C17" s="79">
        <f t="shared" ref="C17" si="1">$E17*C16</f>
        <v>900</v>
      </c>
      <c r="D17" s="80">
        <f t="shared" ref="D17" si="2">$E17*D16</f>
        <v>600</v>
      </c>
      <c r="E17" s="249">
        <v>3000</v>
      </c>
    </row>
    <row r="18" spans="1:6" ht="15" thickTop="1" x14ac:dyDescent="0.3">
      <c r="A18" s="163" t="s">
        <v>51</v>
      </c>
      <c r="B18" s="164">
        <f>B$17*$E18</f>
        <v>750</v>
      </c>
      <c r="C18" s="165">
        <f t="shared" ref="C18:D20" si="3">C$17*$E18</f>
        <v>450</v>
      </c>
      <c r="D18" s="166">
        <f t="shared" si="3"/>
        <v>300</v>
      </c>
      <c r="E18" s="250">
        <v>0.5</v>
      </c>
    </row>
    <row r="19" spans="1:6" x14ac:dyDescent="0.3">
      <c r="A19" s="167" t="s">
        <v>53</v>
      </c>
      <c r="B19" s="168">
        <f t="shared" ref="B19:B20" si="4">B$17*$E19</f>
        <v>525</v>
      </c>
      <c r="C19" s="169">
        <f t="shared" si="3"/>
        <v>315</v>
      </c>
      <c r="D19" s="170">
        <f t="shared" si="3"/>
        <v>210</v>
      </c>
      <c r="E19" s="251">
        <v>0.35</v>
      </c>
    </row>
    <row r="20" spans="1:6" ht="15" thickBot="1" x14ac:dyDescent="0.35">
      <c r="A20" s="171" t="s">
        <v>54</v>
      </c>
      <c r="B20" s="172">
        <f t="shared" si="4"/>
        <v>225</v>
      </c>
      <c r="C20" s="173">
        <f t="shared" si="3"/>
        <v>135</v>
      </c>
      <c r="D20" s="174">
        <f t="shared" si="3"/>
        <v>90</v>
      </c>
      <c r="E20" s="252">
        <v>0.15</v>
      </c>
    </row>
    <row r="21" spans="1:6" ht="15.6" thickTop="1" thickBot="1" x14ac:dyDescent="0.35">
      <c r="A21" s="77" t="s">
        <v>57</v>
      </c>
      <c r="B21" s="176">
        <f>B13/B17</f>
        <v>0.83333333333333337</v>
      </c>
      <c r="C21" s="177">
        <f t="shared" ref="C21:D21" si="5">C13/C17</f>
        <v>0.83333333333333337</v>
      </c>
      <c r="D21" s="178">
        <f t="shared" si="5"/>
        <v>0.83333333333333337</v>
      </c>
      <c r="E21" s="180">
        <f>E13/E17</f>
        <v>0.83333333333333337</v>
      </c>
    </row>
    <row r="22" spans="1:6" ht="15" thickTop="1" x14ac:dyDescent="0.3">
      <c r="A22" s="175" t="s">
        <v>150</v>
      </c>
      <c r="B22" s="183">
        <f>B17+B15</f>
        <v>1650</v>
      </c>
      <c r="C22" s="184">
        <f t="shared" ref="C22:D22" si="6">C17+C15</f>
        <v>990</v>
      </c>
      <c r="D22" s="185">
        <f t="shared" si="6"/>
        <v>660</v>
      </c>
      <c r="E22" s="181">
        <f>SUM(B22:D22)</f>
        <v>3300</v>
      </c>
    </row>
    <row r="23" spans="1:6" x14ac:dyDescent="0.3">
      <c r="A23" s="179" t="s">
        <v>151</v>
      </c>
      <c r="B23" s="253">
        <v>0.5</v>
      </c>
      <c r="C23" s="254">
        <v>0.5</v>
      </c>
      <c r="D23" s="255">
        <v>0.5</v>
      </c>
      <c r="E23" s="182"/>
    </row>
    <row r="24" spans="1:6" ht="15" thickBot="1" x14ac:dyDescent="0.35">
      <c r="A24" s="186" t="s">
        <v>152</v>
      </c>
      <c r="B24" s="189">
        <f>ROUND(B23*B22,0)</f>
        <v>825</v>
      </c>
      <c r="C24" s="190">
        <f t="shared" ref="C24:D24" si="7">ROUND(C23*C22,0)</f>
        <v>495</v>
      </c>
      <c r="D24" s="191">
        <f t="shared" si="7"/>
        <v>330</v>
      </c>
      <c r="E24" s="193"/>
    </row>
    <row r="25" spans="1:6" ht="15" thickTop="1" x14ac:dyDescent="0.3">
      <c r="A25" s="198" t="s">
        <v>162</v>
      </c>
      <c r="B25" s="187">
        <f>B18*$B$23</f>
        <v>375</v>
      </c>
      <c r="C25" s="188">
        <f t="shared" ref="C25:D25" si="8">C18*$B$23</f>
        <v>225</v>
      </c>
      <c r="D25" s="192">
        <f t="shared" si="8"/>
        <v>150</v>
      </c>
      <c r="E25" s="250">
        <v>0.5</v>
      </c>
    </row>
    <row r="26" spans="1:6" x14ac:dyDescent="0.3">
      <c r="A26" s="199" t="s">
        <v>163</v>
      </c>
      <c r="B26" s="168">
        <f t="shared" ref="B26:D26" si="9">B19*$B$23</f>
        <v>262.5</v>
      </c>
      <c r="C26" s="169">
        <f t="shared" si="9"/>
        <v>157.5</v>
      </c>
      <c r="D26" s="170">
        <f t="shared" si="9"/>
        <v>105</v>
      </c>
      <c r="E26" s="251">
        <v>0.35</v>
      </c>
    </row>
    <row r="27" spans="1:6" ht="15" thickBot="1" x14ac:dyDescent="0.35">
      <c r="A27" s="200" t="s">
        <v>164</v>
      </c>
      <c r="B27" s="172">
        <f t="shared" ref="B27:D27" si="10">B20*$B$23</f>
        <v>112.5</v>
      </c>
      <c r="C27" s="173">
        <f t="shared" si="10"/>
        <v>67.5</v>
      </c>
      <c r="D27" s="174">
        <f t="shared" si="10"/>
        <v>45</v>
      </c>
      <c r="E27" s="252">
        <v>0.15</v>
      </c>
    </row>
    <row r="28" spans="1:6" ht="15" thickTop="1" x14ac:dyDescent="0.3">
      <c r="A28" s="198" t="s">
        <v>194</v>
      </c>
      <c r="B28" s="256"/>
      <c r="C28" s="257"/>
      <c r="D28" s="258"/>
      <c r="E28" s="262">
        <f>SUM(B28:D28)</f>
        <v>0</v>
      </c>
    </row>
    <row r="29" spans="1:6" ht="15" thickBot="1" x14ac:dyDescent="0.35">
      <c r="A29" s="221" t="s">
        <v>193</v>
      </c>
      <c r="B29" s="259"/>
      <c r="C29" s="260"/>
      <c r="D29" s="261"/>
      <c r="E29" s="263">
        <f>SUM(B29:D29)</f>
        <v>0</v>
      </c>
      <c r="F29" s="162"/>
    </row>
    <row r="30" spans="1:6" ht="15" thickTop="1" x14ac:dyDescent="0.3">
      <c r="A30" s="162"/>
      <c r="B30" s="162"/>
      <c r="C30" s="162"/>
      <c r="D30" s="162"/>
      <c r="E30" s="162"/>
      <c r="F30" s="162"/>
    </row>
    <row r="31" spans="1:6" ht="15" thickBot="1" x14ac:dyDescent="0.35"/>
    <row r="32" spans="1:6" ht="15.6" thickTop="1" thickBot="1" x14ac:dyDescent="0.35">
      <c r="A32" s="334" t="s">
        <v>78</v>
      </c>
      <c r="B32" s="335"/>
    </row>
    <row r="33" spans="1:2" ht="15" thickTop="1" x14ac:dyDescent="0.3">
      <c r="A33" s="76" t="s">
        <v>79</v>
      </c>
      <c r="B33" s="239">
        <f>C7+B7</f>
        <v>1000</v>
      </c>
    </row>
    <row r="34" spans="1:2" ht="15" thickBot="1" x14ac:dyDescent="0.35">
      <c r="A34" s="72" t="s">
        <v>80</v>
      </c>
      <c r="B34" s="271">
        <v>500</v>
      </c>
    </row>
    <row r="35" spans="1:2" ht="15" thickTop="1" x14ac:dyDescent="0.3"/>
  </sheetData>
  <mergeCells count="3">
    <mergeCell ref="A2:C2"/>
    <mergeCell ref="A32:B32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topLeftCell="A27" workbookViewId="0">
      <selection activeCell="D50" sqref="D50"/>
    </sheetView>
  </sheetViews>
  <sheetFormatPr baseColWidth="10" defaultColWidth="10.6640625" defaultRowHeight="14.4" x14ac:dyDescent="0.3"/>
  <cols>
    <col min="1" max="1" width="14.109375" style="1" customWidth="1"/>
    <col min="2" max="2" width="39.88671875" style="1" customWidth="1"/>
    <col min="3" max="3" width="26.88671875" style="1" customWidth="1"/>
    <col min="4" max="4" width="12.33203125" style="1" bestFit="1" customWidth="1"/>
    <col min="5" max="5" width="14.21875" style="1" customWidth="1"/>
    <col min="6" max="6" width="11.21875" style="1" bestFit="1" customWidth="1"/>
    <col min="7" max="16384" width="10.6640625" style="1"/>
  </cols>
  <sheetData>
    <row r="1" spans="1:6" ht="15.6" thickTop="1" thickBot="1" x14ac:dyDescent="0.35">
      <c r="D1" s="130" t="s">
        <v>2</v>
      </c>
      <c r="E1" s="131" t="s">
        <v>3</v>
      </c>
      <c r="F1" s="132" t="s">
        <v>4</v>
      </c>
    </row>
    <row r="2" spans="1:6" s="2" customFormat="1" ht="58.8" thickTop="1" thickBot="1" x14ac:dyDescent="0.35">
      <c r="A2" s="8" t="s">
        <v>0</v>
      </c>
      <c r="B2" s="48" t="s">
        <v>9</v>
      </c>
      <c r="C2" s="10" t="s">
        <v>8</v>
      </c>
      <c r="D2" s="133" t="s">
        <v>5</v>
      </c>
      <c r="E2" s="134" t="s">
        <v>6</v>
      </c>
      <c r="F2" s="135" t="s">
        <v>7</v>
      </c>
    </row>
    <row r="3" spans="1:6" s="2" customFormat="1" ht="28.95" customHeight="1" thickTop="1" x14ac:dyDescent="0.3">
      <c r="A3" s="344" t="s">
        <v>1</v>
      </c>
      <c r="B3" s="46" t="s">
        <v>15</v>
      </c>
      <c r="C3" s="47" t="s">
        <v>16</v>
      </c>
      <c r="D3" s="272">
        <v>3</v>
      </c>
      <c r="E3" s="273">
        <v>5</v>
      </c>
      <c r="F3" s="274">
        <v>10</v>
      </c>
    </row>
    <row r="4" spans="1:6" s="2" customFormat="1" x14ac:dyDescent="0.3">
      <c r="A4" s="345"/>
      <c r="B4" s="12" t="s">
        <v>10</v>
      </c>
      <c r="C4" s="5" t="s">
        <v>16</v>
      </c>
      <c r="D4" s="275">
        <v>2</v>
      </c>
      <c r="E4" s="276">
        <v>2</v>
      </c>
      <c r="F4" s="277">
        <v>4</v>
      </c>
    </row>
    <row r="5" spans="1:6" s="2" customFormat="1" x14ac:dyDescent="0.3">
      <c r="A5" s="345"/>
      <c r="B5" s="12" t="s">
        <v>11</v>
      </c>
      <c r="C5" s="5" t="s">
        <v>17</v>
      </c>
      <c r="D5" s="275">
        <v>2</v>
      </c>
      <c r="E5" s="276">
        <v>4</v>
      </c>
      <c r="F5" s="277">
        <v>4</v>
      </c>
    </row>
    <row r="6" spans="1:6" s="2" customFormat="1" ht="15" thickBot="1" x14ac:dyDescent="0.35">
      <c r="A6" s="345"/>
      <c r="B6" s="20" t="s">
        <v>27</v>
      </c>
      <c r="C6" s="13" t="s">
        <v>30</v>
      </c>
      <c r="D6" s="27">
        <f>D5*D4*D3</f>
        <v>12</v>
      </c>
      <c r="E6" s="28">
        <f>E5*E4*E3</f>
        <v>40</v>
      </c>
      <c r="F6" s="29">
        <f>F5*F4*F3</f>
        <v>160</v>
      </c>
    </row>
    <row r="7" spans="1:6" s="2" customFormat="1" ht="30" thickTop="1" thickBot="1" x14ac:dyDescent="0.35">
      <c r="A7" s="345"/>
      <c r="B7" s="21" t="s">
        <v>26</v>
      </c>
      <c r="C7" s="14" t="s">
        <v>18</v>
      </c>
      <c r="D7" s="30">
        <v>8</v>
      </c>
      <c r="E7" s="31">
        <v>16</v>
      </c>
      <c r="F7" s="32">
        <v>40</v>
      </c>
    </row>
    <row r="8" spans="1:6" s="2" customFormat="1" ht="15" thickTop="1" x14ac:dyDescent="0.3">
      <c r="A8" s="345"/>
      <c r="B8" s="11" t="s">
        <v>22</v>
      </c>
      <c r="C8" s="4" t="s">
        <v>19</v>
      </c>
      <c r="D8" s="278">
        <v>2</v>
      </c>
      <c r="E8" s="281">
        <v>4</v>
      </c>
      <c r="F8" s="282">
        <v>12</v>
      </c>
    </row>
    <row r="9" spans="1:6" s="2" customFormat="1" x14ac:dyDescent="0.3">
      <c r="A9" s="345"/>
      <c r="B9" s="12" t="s">
        <v>12</v>
      </c>
      <c r="C9" s="5" t="s">
        <v>20</v>
      </c>
      <c r="D9" s="275">
        <v>0.25</v>
      </c>
      <c r="E9" s="276">
        <v>0.5</v>
      </c>
      <c r="F9" s="277">
        <v>1</v>
      </c>
    </row>
    <row r="10" spans="1:6" s="2" customFormat="1" x14ac:dyDescent="0.3">
      <c r="A10" s="345"/>
      <c r="B10" s="12" t="s">
        <v>13</v>
      </c>
      <c r="C10" s="5" t="s">
        <v>19</v>
      </c>
      <c r="D10" s="275">
        <v>1</v>
      </c>
      <c r="E10" s="276">
        <v>2</v>
      </c>
      <c r="F10" s="277">
        <v>3</v>
      </c>
    </row>
    <row r="11" spans="1:6" s="2" customFormat="1" x14ac:dyDescent="0.3">
      <c r="A11" s="345"/>
      <c r="B11" s="9" t="s">
        <v>14</v>
      </c>
      <c r="C11" s="6" t="s">
        <v>17</v>
      </c>
      <c r="D11" s="279">
        <v>0.5</v>
      </c>
      <c r="E11" s="280">
        <v>1</v>
      </c>
      <c r="F11" s="283">
        <v>3</v>
      </c>
    </row>
    <row r="12" spans="1:6" s="2" customFormat="1" ht="28.8" x14ac:dyDescent="0.3">
      <c r="A12" s="345"/>
      <c r="B12" s="9" t="s">
        <v>33</v>
      </c>
      <c r="C12" s="6" t="s">
        <v>32</v>
      </c>
      <c r="D12" s="279">
        <v>0.5</v>
      </c>
      <c r="E12" s="280">
        <v>2</v>
      </c>
      <c r="F12" s="283">
        <v>2</v>
      </c>
    </row>
    <row r="13" spans="1:6" s="2" customFormat="1" ht="15" thickBot="1" x14ac:dyDescent="0.35">
      <c r="A13" s="345"/>
      <c r="B13" s="22" t="s">
        <v>29</v>
      </c>
      <c r="C13" s="15" t="s">
        <v>30</v>
      </c>
      <c r="D13" s="33">
        <f>(D11*D10+D9)*D8+D12</f>
        <v>2</v>
      </c>
      <c r="E13" s="34">
        <f>(E11*E10+E9)*E8+E12</f>
        <v>12</v>
      </c>
      <c r="F13" s="35">
        <f>(F11*F10+F9)*F8+F12</f>
        <v>122</v>
      </c>
    </row>
    <row r="14" spans="1:6" s="2" customFormat="1" ht="15" thickTop="1" x14ac:dyDescent="0.3">
      <c r="A14" s="345"/>
      <c r="B14" s="11" t="s">
        <v>21</v>
      </c>
      <c r="C14" s="4" t="s">
        <v>19</v>
      </c>
      <c r="D14" s="278">
        <v>2</v>
      </c>
      <c r="E14" s="281">
        <v>2</v>
      </c>
      <c r="F14" s="282">
        <v>4</v>
      </c>
    </row>
    <row r="15" spans="1:6" s="2" customFormat="1" x14ac:dyDescent="0.3">
      <c r="A15" s="345"/>
      <c r="B15" s="12" t="s">
        <v>23</v>
      </c>
      <c r="C15" s="5" t="s">
        <v>20</v>
      </c>
      <c r="D15" s="275">
        <v>0.25</v>
      </c>
      <c r="E15" s="276">
        <v>0.25</v>
      </c>
      <c r="F15" s="277">
        <v>0.25</v>
      </c>
    </row>
    <row r="16" spans="1:6" s="2" customFormat="1" x14ac:dyDescent="0.3">
      <c r="A16" s="345"/>
      <c r="B16" s="12" t="s">
        <v>24</v>
      </c>
      <c r="C16" s="5" t="s">
        <v>19</v>
      </c>
      <c r="D16" s="275">
        <v>1</v>
      </c>
      <c r="E16" s="276">
        <v>1</v>
      </c>
      <c r="F16" s="277">
        <v>2</v>
      </c>
    </row>
    <row r="17" spans="1:6" s="2" customFormat="1" x14ac:dyDescent="0.3">
      <c r="A17" s="345"/>
      <c r="B17" s="12" t="s">
        <v>25</v>
      </c>
      <c r="C17" s="5" t="s">
        <v>17</v>
      </c>
      <c r="D17" s="275">
        <v>0.25</v>
      </c>
      <c r="E17" s="276">
        <v>0.25</v>
      </c>
      <c r="F17" s="277">
        <v>0.5</v>
      </c>
    </row>
    <row r="18" spans="1:6" s="2" customFormat="1" ht="28.8" x14ac:dyDescent="0.3">
      <c r="A18" s="345"/>
      <c r="B18" s="12" t="s">
        <v>34</v>
      </c>
      <c r="C18" s="5" t="s">
        <v>32</v>
      </c>
      <c r="D18" s="275">
        <v>0.25</v>
      </c>
      <c r="E18" s="276">
        <v>0.5</v>
      </c>
      <c r="F18" s="277">
        <v>1</v>
      </c>
    </row>
    <row r="19" spans="1:6" s="2" customFormat="1" ht="15" thickBot="1" x14ac:dyDescent="0.35">
      <c r="A19" s="345"/>
      <c r="B19" s="22" t="s">
        <v>31</v>
      </c>
      <c r="C19" s="15" t="s">
        <v>30</v>
      </c>
      <c r="D19" s="33">
        <f>(D17*D16+D15)*D14+D18</f>
        <v>1.25</v>
      </c>
      <c r="E19" s="34">
        <f>(E17*E16+E15)*E14+E18</f>
        <v>1.5</v>
      </c>
      <c r="F19" s="35">
        <f>(F17*F16+F15)*F14+F18</f>
        <v>6</v>
      </c>
    </row>
    <row r="20" spans="1:6" s="2" customFormat="1" ht="15.6" thickTop="1" thickBot="1" x14ac:dyDescent="0.35">
      <c r="A20" s="345"/>
      <c r="B20" s="338" t="s">
        <v>35</v>
      </c>
      <c r="C20" s="339"/>
      <c r="D20" s="204">
        <f>D19+D13+D7+D6</f>
        <v>23.25</v>
      </c>
      <c r="E20" s="205">
        <f>E19+E13+E7+E6</f>
        <v>69.5</v>
      </c>
      <c r="F20" s="206">
        <f>F19+F13+F7+F6</f>
        <v>328</v>
      </c>
    </row>
    <row r="21" spans="1:6" s="2" customFormat="1" ht="15" thickTop="1" x14ac:dyDescent="0.3">
      <c r="A21" s="345"/>
      <c r="B21" s="340" t="s">
        <v>36</v>
      </c>
      <c r="C21" s="341"/>
      <c r="D21" s="284">
        <v>0.3</v>
      </c>
      <c r="E21" s="287">
        <v>0.5</v>
      </c>
      <c r="F21" s="288">
        <v>0.8</v>
      </c>
    </row>
    <row r="22" spans="1:6" s="2" customFormat="1" ht="15" thickBot="1" x14ac:dyDescent="0.35">
      <c r="A22" s="345"/>
      <c r="B22" s="342" t="s">
        <v>37</v>
      </c>
      <c r="C22" s="343"/>
      <c r="D22" s="285">
        <v>0.7</v>
      </c>
      <c r="E22" s="286">
        <v>0.5</v>
      </c>
      <c r="F22" s="289">
        <v>0.2</v>
      </c>
    </row>
    <row r="23" spans="1:6" s="2" customFormat="1" ht="15" thickTop="1" x14ac:dyDescent="0.3">
      <c r="A23" s="345"/>
      <c r="B23" s="358" t="s">
        <v>42</v>
      </c>
      <c r="C23" s="359"/>
      <c r="D23" s="310">
        <f t="shared" ref="D23:F24" si="0">D$20*D21</f>
        <v>6.9749999999999996</v>
      </c>
      <c r="E23" s="311">
        <f t="shared" si="0"/>
        <v>34.75</v>
      </c>
      <c r="F23" s="312">
        <f t="shared" si="0"/>
        <v>262.40000000000003</v>
      </c>
    </row>
    <row r="24" spans="1:6" s="2" customFormat="1" x14ac:dyDescent="0.3">
      <c r="A24" s="345"/>
      <c r="B24" s="360" t="s">
        <v>43</v>
      </c>
      <c r="C24" s="361"/>
      <c r="D24" s="313">
        <f t="shared" si="0"/>
        <v>16.274999999999999</v>
      </c>
      <c r="E24" s="314">
        <f t="shared" si="0"/>
        <v>34.75</v>
      </c>
      <c r="F24" s="315">
        <f t="shared" si="0"/>
        <v>65.600000000000009</v>
      </c>
    </row>
    <row r="25" spans="1:6" s="2" customFormat="1" x14ac:dyDescent="0.3">
      <c r="A25" s="345"/>
      <c r="B25" s="360" t="s">
        <v>44</v>
      </c>
      <c r="C25" s="361"/>
      <c r="D25" s="233">
        <f>Paramètres!$B$9</f>
        <v>45.161290322580648</v>
      </c>
      <c r="E25" s="234">
        <f>Paramètres!$B$9</f>
        <v>45.161290322580648</v>
      </c>
      <c r="F25" s="235">
        <f>Paramètres!$B$9</f>
        <v>45.161290322580648</v>
      </c>
    </row>
    <row r="26" spans="1:6" s="2" customFormat="1" ht="15" thickBot="1" x14ac:dyDescent="0.35">
      <c r="A26" s="345"/>
      <c r="B26" s="362" t="s">
        <v>45</v>
      </c>
      <c r="C26" s="363"/>
      <c r="D26" s="236">
        <f>Paramètres!$C$9</f>
        <v>32.258064516129032</v>
      </c>
      <c r="E26" s="237">
        <f>Paramètres!$C$9</f>
        <v>32.258064516129032</v>
      </c>
      <c r="F26" s="238">
        <f>Paramètres!$C$9</f>
        <v>32.258064516129032</v>
      </c>
    </row>
    <row r="27" spans="1:6" s="2" customFormat="1" ht="15.6" thickTop="1" thickBot="1" x14ac:dyDescent="0.35">
      <c r="A27" s="346"/>
      <c r="B27" s="364" t="s">
        <v>71</v>
      </c>
      <c r="C27" s="365"/>
      <c r="D27" s="54">
        <f>D23*D25</f>
        <v>315</v>
      </c>
      <c r="E27" s="55">
        <f t="shared" ref="E27:F27" si="1">E23*E25</f>
        <v>1569.3548387096776</v>
      </c>
      <c r="F27" s="56">
        <f t="shared" si="1"/>
        <v>11850.322580645163</v>
      </c>
    </row>
    <row r="28" spans="1:6" ht="14.7" customHeight="1" thickTop="1" x14ac:dyDescent="0.3">
      <c r="A28" s="344" t="s">
        <v>46</v>
      </c>
      <c r="B28" s="368" t="s">
        <v>47</v>
      </c>
      <c r="C28" s="369"/>
      <c r="D28" s="290">
        <v>0.3</v>
      </c>
      <c r="E28" s="295">
        <v>0.3</v>
      </c>
      <c r="F28" s="296">
        <v>0.3</v>
      </c>
    </row>
    <row r="29" spans="1:6" x14ac:dyDescent="0.3">
      <c r="A29" s="345"/>
      <c r="B29" s="370" t="s">
        <v>48</v>
      </c>
      <c r="C29" s="371"/>
      <c r="D29" s="291">
        <v>0.6</v>
      </c>
      <c r="E29" s="294">
        <v>0.6</v>
      </c>
      <c r="F29" s="297">
        <v>0.6</v>
      </c>
    </row>
    <row r="30" spans="1:6" ht="15" thickBot="1" x14ac:dyDescent="0.35">
      <c r="A30" s="345"/>
      <c r="B30" s="372" t="s">
        <v>49</v>
      </c>
      <c r="C30" s="373"/>
      <c r="D30" s="292">
        <v>0.9</v>
      </c>
      <c r="E30" s="293">
        <v>0.9</v>
      </c>
      <c r="F30" s="298">
        <v>0.9</v>
      </c>
    </row>
    <row r="31" spans="1:6" ht="15" thickTop="1" x14ac:dyDescent="0.3">
      <c r="A31" s="345"/>
      <c r="B31" s="366" t="s">
        <v>72</v>
      </c>
      <c r="C31" s="367"/>
      <c r="D31" s="57">
        <f>D28*D$27</f>
        <v>94.5</v>
      </c>
      <c r="E31" s="58">
        <f t="shared" ref="E31:F31" si="2">E28*E$27</f>
        <v>470.80645161290323</v>
      </c>
      <c r="F31" s="59">
        <f t="shared" si="2"/>
        <v>3555.0967741935488</v>
      </c>
    </row>
    <row r="32" spans="1:6" x14ac:dyDescent="0.3">
      <c r="A32" s="345"/>
      <c r="B32" s="89" t="s">
        <v>73</v>
      </c>
      <c r="C32" s="60"/>
      <c r="D32" s="61">
        <f t="shared" ref="D32:F32" si="3">D29*D$27</f>
        <v>189</v>
      </c>
      <c r="E32" s="62">
        <f t="shared" si="3"/>
        <v>941.61290322580646</v>
      </c>
      <c r="F32" s="63">
        <f t="shared" si="3"/>
        <v>7110.1935483870975</v>
      </c>
    </row>
    <row r="33" spans="1:6" ht="15" thickBot="1" x14ac:dyDescent="0.35">
      <c r="A33" s="346"/>
      <c r="B33" s="374" t="s">
        <v>74</v>
      </c>
      <c r="C33" s="375"/>
      <c r="D33" s="64">
        <f t="shared" ref="D33:F33" si="4">D30*D$27</f>
        <v>283.5</v>
      </c>
      <c r="E33" s="65">
        <f t="shared" si="4"/>
        <v>1412.4193548387098</v>
      </c>
      <c r="F33" s="66">
        <f t="shared" si="4"/>
        <v>10665.290322580648</v>
      </c>
    </row>
    <row r="34" spans="1:6" ht="29.4" thickTop="1" x14ac:dyDescent="0.3">
      <c r="A34" s="347" t="s">
        <v>66</v>
      </c>
      <c r="B34" s="3" t="s">
        <v>67</v>
      </c>
      <c r="C34" s="4" t="s">
        <v>68</v>
      </c>
      <c r="D34" s="278">
        <v>0.25</v>
      </c>
      <c r="E34" s="281">
        <v>0.5</v>
      </c>
      <c r="F34" s="282">
        <v>1</v>
      </c>
    </row>
    <row r="35" spans="1:6" x14ac:dyDescent="0.3">
      <c r="A35" s="348"/>
      <c r="B35" s="377" t="s">
        <v>70</v>
      </c>
      <c r="C35" s="378"/>
      <c r="D35" s="301">
        <v>1</v>
      </c>
      <c r="E35" s="300">
        <v>0.9</v>
      </c>
      <c r="F35" s="299">
        <v>0.8</v>
      </c>
    </row>
    <row r="36" spans="1:6" ht="15" thickBot="1" x14ac:dyDescent="0.35">
      <c r="A36" s="348"/>
      <c r="B36" s="376" t="s">
        <v>69</v>
      </c>
      <c r="C36" s="343"/>
      <c r="D36" s="285">
        <v>0</v>
      </c>
      <c r="E36" s="286">
        <v>0.1</v>
      </c>
      <c r="F36" s="289">
        <v>0.2</v>
      </c>
    </row>
    <row r="37" spans="1:6" ht="15.6" thickTop="1" thickBot="1" x14ac:dyDescent="0.35">
      <c r="A37" s="349"/>
      <c r="B37" s="354" t="s">
        <v>75</v>
      </c>
      <c r="C37" s="355"/>
      <c r="D37" s="90">
        <f>D35*D34*Paramètres!$B$9+D34*D36*Paramètres!$C$9</f>
        <v>11.290322580645162</v>
      </c>
      <c r="E37" s="91">
        <f>E35*E34*Paramètres!$B$9+E34*E36*Paramètres!$C$9</f>
        <v>21.935483870967744</v>
      </c>
      <c r="F37" s="92">
        <f>F35*F34*Paramètres!$B$9+F34*F36*Paramètres!$C$9</f>
        <v>42.580645161290327</v>
      </c>
    </row>
    <row r="38" spans="1:6" ht="15" thickTop="1" x14ac:dyDescent="0.3"/>
    <row r="39" spans="1:6" ht="15" thickBot="1" x14ac:dyDescent="0.35"/>
    <row r="40" spans="1:6" s="2" customFormat="1" ht="15.6" thickTop="1" thickBot="1" x14ac:dyDescent="0.35">
      <c r="A40" s="8" t="s">
        <v>0</v>
      </c>
      <c r="B40" s="48" t="s">
        <v>9</v>
      </c>
      <c r="C40" s="7" t="s">
        <v>8</v>
      </c>
      <c r="D40" s="137" t="s">
        <v>112</v>
      </c>
    </row>
    <row r="41" spans="1:6" ht="15" thickTop="1" x14ac:dyDescent="0.3">
      <c r="A41" s="347" t="s">
        <v>77</v>
      </c>
      <c r="B41" s="356" t="s">
        <v>81</v>
      </c>
      <c r="C41" s="357"/>
      <c r="D41" s="136">
        <f>Paramètres!B34</f>
        <v>500</v>
      </c>
    </row>
    <row r="42" spans="1:6" x14ac:dyDescent="0.3">
      <c r="A42" s="348"/>
      <c r="B42" s="350" t="s">
        <v>82</v>
      </c>
      <c r="C42" s="351"/>
      <c r="D42" s="302">
        <v>200</v>
      </c>
    </row>
    <row r="43" spans="1:6" ht="15" thickBot="1" x14ac:dyDescent="0.35">
      <c r="A43" s="348"/>
      <c r="B43" s="352" t="s">
        <v>83</v>
      </c>
      <c r="C43" s="353"/>
      <c r="D43" s="302">
        <v>150</v>
      </c>
    </row>
    <row r="44" spans="1:6" ht="15.6" thickTop="1" thickBot="1" x14ac:dyDescent="0.35">
      <c r="A44" s="349"/>
      <c r="B44" s="354" t="s">
        <v>75</v>
      </c>
      <c r="C44" s="355"/>
      <c r="D44" s="94">
        <f>D41*(D42+D43)</f>
        <v>175000</v>
      </c>
    </row>
    <row r="45" spans="1:6" ht="15.6" thickTop="1" thickBot="1" x14ac:dyDescent="0.35"/>
    <row r="46" spans="1:6" ht="15.6" thickTop="1" thickBot="1" x14ac:dyDescent="0.35">
      <c r="D46" s="17" t="s">
        <v>2</v>
      </c>
      <c r="E46" s="18" t="s">
        <v>3</v>
      </c>
      <c r="F46" s="19" t="s">
        <v>4</v>
      </c>
    </row>
    <row r="47" spans="1:6" ht="30" thickTop="1" thickBot="1" x14ac:dyDescent="0.35">
      <c r="A47" s="8" t="s">
        <v>0</v>
      </c>
      <c r="B47" s="48" t="s">
        <v>9</v>
      </c>
      <c r="C47" s="10" t="s">
        <v>8</v>
      </c>
      <c r="D47" s="99" t="s">
        <v>85</v>
      </c>
      <c r="E47" s="100" t="s">
        <v>86</v>
      </c>
      <c r="F47" s="101" t="s">
        <v>87</v>
      </c>
    </row>
    <row r="48" spans="1:6" ht="15" thickTop="1" x14ac:dyDescent="0.3">
      <c r="A48" s="344" t="s">
        <v>111</v>
      </c>
      <c r="B48" s="107" t="s">
        <v>88</v>
      </c>
      <c r="C48" s="97" t="s">
        <v>90</v>
      </c>
      <c r="D48" s="303">
        <v>0.2</v>
      </c>
      <c r="E48" s="295">
        <v>0.5</v>
      </c>
      <c r="F48" s="296">
        <v>0.3</v>
      </c>
    </row>
    <row r="49" spans="1:6" x14ac:dyDescent="0.3">
      <c r="A49" s="345"/>
      <c r="B49" s="108" t="s">
        <v>88</v>
      </c>
      <c r="C49" s="98" t="s">
        <v>91</v>
      </c>
      <c r="D49" s="102">
        <f>D48*Paramètres!$B$33</f>
        <v>200</v>
      </c>
      <c r="E49" s="103">
        <f>E48*Paramètres!$B$33</f>
        <v>500</v>
      </c>
      <c r="F49" s="104">
        <f>F48*Paramètres!$B$33</f>
        <v>300</v>
      </c>
    </row>
    <row r="50" spans="1:6" ht="28.8" x14ac:dyDescent="0.3">
      <c r="A50" s="345"/>
      <c r="B50" s="109" t="s">
        <v>89</v>
      </c>
      <c r="C50" s="98" t="s">
        <v>28</v>
      </c>
      <c r="D50" s="306">
        <v>2</v>
      </c>
      <c r="E50" s="305">
        <v>1</v>
      </c>
      <c r="F50" s="304">
        <v>0.25</v>
      </c>
    </row>
    <row r="51" spans="1:6" ht="28.8" x14ac:dyDescent="0.3">
      <c r="A51" s="345"/>
      <c r="B51" s="109" t="s">
        <v>92</v>
      </c>
      <c r="C51" s="98" t="s">
        <v>28</v>
      </c>
      <c r="D51" s="306">
        <v>0.25</v>
      </c>
      <c r="E51" s="305">
        <v>1</v>
      </c>
      <c r="F51" s="304">
        <v>1</v>
      </c>
    </row>
    <row r="52" spans="1:6" x14ac:dyDescent="0.3">
      <c r="A52" s="345"/>
      <c r="B52" s="110" t="s">
        <v>93</v>
      </c>
      <c r="C52" s="106" t="s">
        <v>94</v>
      </c>
      <c r="D52" s="118">
        <f>(D51+D50)*D49*(AVERAGE(Paramètres!$B$5:$C$5))</f>
        <v>20250</v>
      </c>
      <c r="E52" s="119">
        <f>(E51+E50)*E49*(AVERAGE(Paramètres!$B$5:$C$5))</f>
        <v>45000</v>
      </c>
      <c r="F52" s="120">
        <f>(F51+F50)*F49*(AVERAGE(Paramètres!$B$5:$C$5))</f>
        <v>16875</v>
      </c>
    </row>
    <row r="53" spans="1:6" x14ac:dyDescent="0.3">
      <c r="A53" s="345"/>
      <c r="B53" s="116" t="s">
        <v>102</v>
      </c>
      <c r="C53" s="117" t="s">
        <v>103</v>
      </c>
      <c r="D53" s="307">
        <v>0.8</v>
      </c>
      <c r="E53" s="308">
        <v>0.6</v>
      </c>
      <c r="F53" s="309">
        <v>0.2</v>
      </c>
    </row>
    <row r="54" spans="1:6" ht="15" thickBot="1" x14ac:dyDescent="0.35">
      <c r="A54" s="345"/>
      <c r="B54" s="116" t="s">
        <v>104</v>
      </c>
      <c r="C54" s="117" t="s">
        <v>103</v>
      </c>
      <c r="D54" s="307">
        <v>0.2</v>
      </c>
      <c r="E54" s="308">
        <v>0.4</v>
      </c>
      <c r="F54" s="309">
        <v>0.8</v>
      </c>
    </row>
    <row r="55" spans="1:6" ht="15.6" thickTop="1" thickBot="1" x14ac:dyDescent="0.35">
      <c r="A55" s="345"/>
      <c r="B55" s="121" t="s">
        <v>105</v>
      </c>
      <c r="C55" s="122" t="s">
        <v>106</v>
      </c>
      <c r="D55" s="124">
        <f>D53*Paramètres!$B$9+Paramètres!$C$9*D54</f>
        <v>42.580645161290327</v>
      </c>
      <c r="E55" s="125">
        <f>E53*Paramètres!$B$9+Paramètres!$C$9*E54</f>
        <v>40</v>
      </c>
      <c r="F55" s="126">
        <f>F53*Paramètres!$B$9+Paramètres!$C$9*F54</f>
        <v>34.838709677419359</v>
      </c>
    </row>
    <row r="56" spans="1:6" ht="15.6" thickTop="1" thickBot="1" x14ac:dyDescent="0.35">
      <c r="A56" s="346"/>
      <c r="B56" s="111" t="s">
        <v>107</v>
      </c>
      <c r="C56" s="123" t="s">
        <v>97</v>
      </c>
      <c r="D56" s="127">
        <f>D55*D52</f>
        <v>862258.06451612909</v>
      </c>
      <c r="E56" s="128">
        <f>E55*E52</f>
        <v>1800000</v>
      </c>
      <c r="F56" s="129">
        <f>F55*F52</f>
        <v>587903.22580645164</v>
      </c>
    </row>
    <row r="57" spans="1:6" ht="15" thickTop="1" x14ac:dyDescent="0.3"/>
  </sheetData>
  <mergeCells count="25">
    <mergeCell ref="B29:C29"/>
    <mergeCell ref="B30:C30"/>
    <mergeCell ref="B33:C33"/>
    <mergeCell ref="A48:A56"/>
    <mergeCell ref="B36:C36"/>
    <mergeCell ref="B37:C37"/>
    <mergeCell ref="A34:A37"/>
    <mergeCell ref="A28:A33"/>
    <mergeCell ref="B35:C35"/>
    <mergeCell ref="B20:C20"/>
    <mergeCell ref="B21:C21"/>
    <mergeCell ref="B22:C22"/>
    <mergeCell ref="A3:A27"/>
    <mergeCell ref="A41:A44"/>
    <mergeCell ref="B42:C42"/>
    <mergeCell ref="B43:C43"/>
    <mergeCell ref="B44:C44"/>
    <mergeCell ref="B41:C41"/>
    <mergeCell ref="B23:C23"/>
    <mergeCell ref="B24:C24"/>
    <mergeCell ref="B25:C25"/>
    <mergeCell ref="B26:C26"/>
    <mergeCell ref="B27:C27"/>
    <mergeCell ref="B31:C31"/>
    <mergeCell ref="B28:C2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3"/>
  <sheetViews>
    <sheetView topLeftCell="A34" workbookViewId="0">
      <selection activeCell="D34" sqref="D34"/>
    </sheetView>
  </sheetViews>
  <sheetFormatPr baseColWidth="10" defaultRowHeight="14.4" x14ac:dyDescent="0.3"/>
  <cols>
    <col min="1" max="1" width="20.44140625" customWidth="1"/>
    <col min="2" max="2" width="46.21875" customWidth="1"/>
    <col min="3" max="3" width="31.5546875" customWidth="1"/>
    <col min="4" max="6" width="13.21875" customWidth="1"/>
  </cols>
  <sheetData>
    <row r="1" spans="1:6" s="1" customFormat="1" ht="15.6" thickTop="1" thickBot="1" x14ac:dyDescent="0.35">
      <c r="D1" s="130" t="s">
        <v>2</v>
      </c>
      <c r="E1" s="131" t="s">
        <v>3</v>
      </c>
      <c r="F1" s="132" t="s">
        <v>4</v>
      </c>
    </row>
    <row r="2" spans="1:6" s="2" customFormat="1" ht="44.4" thickTop="1" thickBot="1" x14ac:dyDescent="0.35">
      <c r="A2" s="8" t="s">
        <v>0</v>
      </c>
      <c r="B2" s="48" t="s">
        <v>9</v>
      </c>
      <c r="C2" s="10" t="s">
        <v>8</v>
      </c>
      <c r="D2" s="133" t="s">
        <v>120</v>
      </c>
      <c r="E2" s="134" t="s">
        <v>121</v>
      </c>
      <c r="F2" s="135" t="s">
        <v>122</v>
      </c>
    </row>
    <row r="3" spans="1:6" s="2" customFormat="1" ht="15" thickTop="1" x14ac:dyDescent="0.3">
      <c r="A3" s="344" t="s">
        <v>124</v>
      </c>
      <c r="B3" s="46" t="s">
        <v>119</v>
      </c>
      <c r="C3" s="47" t="s">
        <v>16</v>
      </c>
      <c r="D3" s="272">
        <v>1</v>
      </c>
      <c r="E3" s="273">
        <v>2</v>
      </c>
      <c r="F3" s="274">
        <v>3</v>
      </c>
    </row>
    <row r="4" spans="1:6" s="2" customFormat="1" x14ac:dyDescent="0.3">
      <c r="A4" s="345"/>
      <c r="B4" s="12" t="s">
        <v>10</v>
      </c>
      <c r="C4" s="5" t="s">
        <v>16</v>
      </c>
      <c r="D4" s="275">
        <v>1</v>
      </c>
      <c r="E4" s="276">
        <v>1</v>
      </c>
      <c r="F4" s="277">
        <v>4</v>
      </c>
    </row>
    <row r="5" spans="1:6" s="2" customFormat="1" x14ac:dyDescent="0.3">
      <c r="A5" s="345"/>
      <c r="B5" s="12" t="s">
        <v>11</v>
      </c>
      <c r="C5" s="5" t="s">
        <v>17</v>
      </c>
      <c r="D5" s="275">
        <v>2</v>
      </c>
      <c r="E5" s="276">
        <v>4</v>
      </c>
      <c r="F5" s="277">
        <v>4</v>
      </c>
    </row>
    <row r="6" spans="1:6" s="2" customFormat="1" ht="15" thickBot="1" x14ac:dyDescent="0.35">
      <c r="A6" s="345"/>
      <c r="B6" s="20" t="s">
        <v>27</v>
      </c>
      <c r="C6" s="13" t="s">
        <v>30</v>
      </c>
      <c r="D6" s="27">
        <f>D5*D4*D3</f>
        <v>2</v>
      </c>
      <c r="E6" s="28">
        <f>E5*E4*E3</f>
        <v>8</v>
      </c>
      <c r="F6" s="29">
        <f>F5*F4*F3</f>
        <v>48</v>
      </c>
    </row>
    <row r="7" spans="1:6" s="2" customFormat="1" ht="30" thickTop="1" thickBot="1" x14ac:dyDescent="0.35">
      <c r="A7" s="345"/>
      <c r="B7" s="21" t="s">
        <v>123</v>
      </c>
      <c r="C7" s="14" t="s">
        <v>18</v>
      </c>
      <c r="D7" s="30">
        <v>8</v>
      </c>
      <c r="E7" s="31">
        <v>16</v>
      </c>
      <c r="F7" s="32">
        <v>40</v>
      </c>
    </row>
    <row r="8" spans="1:6" s="2" customFormat="1" ht="15" thickTop="1" x14ac:dyDescent="0.3">
      <c r="A8" s="345"/>
      <c r="B8" s="11" t="s">
        <v>22</v>
      </c>
      <c r="C8" s="4" t="s">
        <v>19</v>
      </c>
      <c r="D8" s="278">
        <v>1</v>
      </c>
      <c r="E8" s="281">
        <v>2</v>
      </c>
      <c r="F8" s="282">
        <v>3</v>
      </c>
    </row>
    <row r="9" spans="1:6" s="2" customFormat="1" x14ac:dyDescent="0.3">
      <c r="A9" s="345"/>
      <c r="B9" s="12" t="s">
        <v>12</v>
      </c>
      <c r="C9" s="5" t="s">
        <v>20</v>
      </c>
      <c r="D9" s="275">
        <v>0.25</v>
      </c>
      <c r="E9" s="276">
        <v>0.5</v>
      </c>
      <c r="F9" s="277">
        <v>1</v>
      </c>
    </row>
    <row r="10" spans="1:6" s="2" customFormat="1" x14ac:dyDescent="0.3">
      <c r="A10" s="345"/>
      <c r="B10" s="12" t="s">
        <v>13</v>
      </c>
      <c r="C10" s="5" t="s">
        <v>19</v>
      </c>
      <c r="D10" s="275">
        <v>1</v>
      </c>
      <c r="E10" s="276">
        <v>2</v>
      </c>
      <c r="F10" s="277">
        <v>3</v>
      </c>
    </row>
    <row r="11" spans="1:6" s="2" customFormat="1" x14ac:dyDescent="0.3">
      <c r="A11" s="345"/>
      <c r="B11" s="9" t="s">
        <v>14</v>
      </c>
      <c r="C11" s="6" t="s">
        <v>17</v>
      </c>
      <c r="D11" s="279">
        <v>0.5</v>
      </c>
      <c r="E11" s="280">
        <v>1</v>
      </c>
      <c r="F11" s="283">
        <v>3</v>
      </c>
    </row>
    <row r="12" spans="1:6" s="2" customFormat="1" ht="28.8" x14ac:dyDescent="0.3">
      <c r="A12" s="345"/>
      <c r="B12" s="9" t="s">
        <v>33</v>
      </c>
      <c r="C12" s="6" t="s">
        <v>32</v>
      </c>
      <c r="D12" s="279">
        <v>0.5</v>
      </c>
      <c r="E12" s="280">
        <v>2</v>
      </c>
      <c r="F12" s="283">
        <v>2</v>
      </c>
    </row>
    <row r="13" spans="1:6" s="2" customFormat="1" ht="15" thickBot="1" x14ac:dyDescent="0.35">
      <c r="A13" s="345"/>
      <c r="B13" s="22" t="s">
        <v>29</v>
      </c>
      <c r="C13" s="15" t="s">
        <v>30</v>
      </c>
      <c r="D13" s="33">
        <f>(D11*D10+D9)*D8+D12</f>
        <v>1.25</v>
      </c>
      <c r="E13" s="34">
        <f>(E11*E10+E9)*E8+E12</f>
        <v>7</v>
      </c>
      <c r="F13" s="35">
        <f>(F11*F10+F9)*F8+F12</f>
        <v>32</v>
      </c>
    </row>
    <row r="14" spans="1:6" s="2" customFormat="1" ht="15" thickTop="1" x14ac:dyDescent="0.3">
      <c r="A14" s="345"/>
      <c r="B14" s="11" t="s">
        <v>21</v>
      </c>
      <c r="C14" s="4" t="s">
        <v>19</v>
      </c>
      <c r="D14" s="278">
        <v>2</v>
      </c>
      <c r="E14" s="281">
        <v>3</v>
      </c>
      <c r="F14" s="282">
        <v>4</v>
      </c>
    </row>
    <row r="15" spans="1:6" s="2" customFormat="1" x14ac:dyDescent="0.3">
      <c r="A15" s="345"/>
      <c r="B15" s="12" t="s">
        <v>23</v>
      </c>
      <c r="C15" s="5" t="s">
        <v>20</v>
      </c>
      <c r="D15" s="275">
        <v>0.5</v>
      </c>
      <c r="E15" s="276">
        <v>0.5</v>
      </c>
      <c r="F15" s="277">
        <v>0.5</v>
      </c>
    </row>
    <row r="16" spans="1:6" s="2" customFormat="1" x14ac:dyDescent="0.3">
      <c r="A16" s="345"/>
      <c r="B16" s="12" t="s">
        <v>24</v>
      </c>
      <c r="C16" s="5" t="s">
        <v>19</v>
      </c>
      <c r="D16" s="275">
        <v>2</v>
      </c>
      <c r="E16" s="276">
        <v>2</v>
      </c>
      <c r="F16" s="277">
        <v>2</v>
      </c>
    </row>
    <row r="17" spans="1:6" s="2" customFormat="1" x14ac:dyDescent="0.3">
      <c r="A17" s="345"/>
      <c r="B17" s="12" t="s">
        <v>25</v>
      </c>
      <c r="C17" s="5" t="s">
        <v>17</v>
      </c>
      <c r="D17" s="275">
        <v>2</v>
      </c>
      <c r="E17" s="276">
        <v>2</v>
      </c>
      <c r="F17" s="277">
        <v>2</v>
      </c>
    </row>
    <row r="18" spans="1:6" s="2" customFormat="1" ht="28.8" x14ac:dyDescent="0.3">
      <c r="A18" s="345"/>
      <c r="B18" s="12" t="s">
        <v>34</v>
      </c>
      <c r="C18" s="5" t="s">
        <v>32</v>
      </c>
      <c r="D18" s="275">
        <v>2</v>
      </c>
      <c r="E18" s="276">
        <v>2</v>
      </c>
      <c r="F18" s="277">
        <v>2</v>
      </c>
    </row>
    <row r="19" spans="1:6" s="2" customFormat="1" ht="15" thickBot="1" x14ac:dyDescent="0.35">
      <c r="A19" s="345"/>
      <c r="B19" s="22" t="s">
        <v>31</v>
      </c>
      <c r="C19" s="15" t="s">
        <v>30</v>
      </c>
      <c r="D19" s="33">
        <f>(D17*D16+D15)*D14+D18</f>
        <v>11</v>
      </c>
      <c r="E19" s="34">
        <f>(E17*E16+E15)*E14+E18</f>
        <v>15.5</v>
      </c>
      <c r="F19" s="35">
        <f>(F17*F16+F15)*F14+F18</f>
        <v>20</v>
      </c>
    </row>
    <row r="20" spans="1:6" s="2" customFormat="1" ht="15.6" thickTop="1" thickBot="1" x14ac:dyDescent="0.35">
      <c r="A20" s="345"/>
      <c r="B20" s="338" t="s">
        <v>35</v>
      </c>
      <c r="C20" s="339"/>
      <c r="D20" s="204">
        <f>D19+D13+D7+D6</f>
        <v>22.25</v>
      </c>
      <c r="E20" s="205">
        <f>E19+E13+E7+E6</f>
        <v>46.5</v>
      </c>
      <c r="F20" s="206">
        <f>F19+F13+F7+F6</f>
        <v>140</v>
      </c>
    </row>
    <row r="21" spans="1:6" s="2" customFormat="1" ht="15" thickTop="1" x14ac:dyDescent="0.3">
      <c r="A21" s="345"/>
      <c r="B21" s="340" t="s">
        <v>36</v>
      </c>
      <c r="C21" s="341"/>
      <c r="D21" s="284">
        <v>0.3</v>
      </c>
      <c r="E21" s="287">
        <v>0.5</v>
      </c>
      <c r="F21" s="288">
        <v>0.8</v>
      </c>
    </row>
    <row r="22" spans="1:6" s="2" customFormat="1" ht="15" thickBot="1" x14ac:dyDescent="0.35">
      <c r="A22" s="345"/>
      <c r="B22" s="342" t="s">
        <v>37</v>
      </c>
      <c r="C22" s="343"/>
      <c r="D22" s="285">
        <v>0.7</v>
      </c>
      <c r="E22" s="286">
        <v>0.5</v>
      </c>
      <c r="F22" s="289">
        <v>0.2</v>
      </c>
    </row>
    <row r="23" spans="1:6" s="2" customFormat="1" ht="15" thickTop="1" x14ac:dyDescent="0.3">
      <c r="A23" s="345"/>
      <c r="B23" s="358" t="s">
        <v>42</v>
      </c>
      <c r="C23" s="359"/>
      <c r="D23" s="310">
        <f t="shared" ref="D23:F24" si="0">D$20*D21</f>
        <v>6.6749999999999998</v>
      </c>
      <c r="E23" s="311">
        <f t="shared" si="0"/>
        <v>23.25</v>
      </c>
      <c r="F23" s="312">
        <f t="shared" si="0"/>
        <v>112</v>
      </c>
    </row>
    <row r="24" spans="1:6" s="2" customFormat="1" x14ac:dyDescent="0.3">
      <c r="A24" s="345"/>
      <c r="B24" s="360" t="s">
        <v>43</v>
      </c>
      <c r="C24" s="361"/>
      <c r="D24" s="313">
        <f t="shared" si="0"/>
        <v>15.574999999999999</v>
      </c>
      <c r="E24" s="314">
        <f t="shared" si="0"/>
        <v>23.25</v>
      </c>
      <c r="F24" s="315">
        <f t="shared" si="0"/>
        <v>28</v>
      </c>
    </row>
    <row r="25" spans="1:6" s="2" customFormat="1" x14ac:dyDescent="0.3">
      <c r="A25" s="345"/>
      <c r="B25" s="360" t="s">
        <v>44</v>
      </c>
      <c r="C25" s="361"/>
      <c r="D25" s="233">
        <f>Paramètres!$B$9</f>
        <v>45.161290322580648</v>
      </c>
      <c r="E25" s="234">
        <f>Paramètres!$B$9</f>
        <v>45.161290322580648</v>
      </c>
      <c r="F25" s="235">
        <f>Paramètres!$B$9</f>
        <v>45.161290322580648</v>
      </c>
    </row>
    <row r="26" spans="1:6" s="2" customFormat="1" ht="15" thickBot="1" x14ac:dyDescent="0.35">
      <c r="A26" s="345"/>
      <c r="B26" s="362" t="s">
        <v>45</v>
      </c>
      <c r="C26" s="363"/>
      <c r="D26" s="236">
        <f>Paramètres!$C$9</f>
        <v>32.258064516129032</v>
      </c>
      <c r="E26" s="237">
        <f>Paramètres!$C$9</f>
        <v>32.258064516129032</v>
      </c>
      <c r="F26" s="238">
        <f>Paramètres!$C$9</f>
        <v>32.258064516129032</v>
      </c>
    </row>
    <row r="27" spans="1:6" s="2" customFormat="1" ht="15.6" thickTop="1" thickBot="1" x14ac:dyDescent="0.35">
      <c r="A27" s="346"/>
      <c r="B27" s="364" t="s">
        <v>71</v>
      </c>
      <c r="C27" s="365"/>
      <c r="D27" s="54">
        <f>D23*D25</f>
        <v>301.45161290322579</v>
      </c>
      <c r="E27" s="55">
        <f t="shared" ref="E27:F27" si="1">E23*E25</f>
        <v>1050</v>
      </c>
      <c r="F27" s="56">
        <f t="shared" si="1"/>
        <v>5058.0645161290322</v>
      </c>
    </row>
    <row r="28" spans="1:6" s="1" customFormat="1" ht="15" thickTop="1" x14ac:dyDescent="0.3">
      <c r="A28" s="344" t="s">
        <v>125</v>
      </c>
      <c r="B28" s="368" t="s">
        <v>47</v>
      </c>
      <c r="C28" s="369"/>
      <c r="D28" s="290">
        <v>0.3</v>
      </c>
      <c r="E28" s="295">
        <v>0.3</v>
      </c>
      <c r="F28" s="296">
        <v>0.3</v>
      </c>
    </row>
    <row r="29" spans="1:6" s="1" customFormat="1" x14ac:dyDescent="0.3">
      <c r="A29" s="345"/>
      <c r="B29" s="370" t="s">
        <v>48</v>
      </c>
      <c r="C29" s="371"/>
      <c r="D29" s="291">
        <v>0.6</v>
      </c>
      <c r="E29" s="294">
        <v>0.6</v>
      </c>
      <c r="F29" s="297">
        <v>0.6</v>
      </c>
    </row>
    <row r="30" spans="1:6" s="1" customFormat="1" ht="15" thickBot="1" x14ac:dyDescent="0.35">
      <c r="A30" s="345"/>
      <c r="B30" s="372" t="s">
        <v>49</v>
      </c>
      <c r="C30" s="373"/>
      <c r="D30" s="292">
        <v>0.9</v>
      </c>
      <c r="E30" s="293">
        <v>0.9</v>
      </c>
      <c r="F30" s="298">
        <v>0.9</v>
      </c>
    </row>
    <row r="31" spans="1:6" s="1" customFormat="1" ht="15" thickTop="1" x14ac:dyDescent="0.3">
      <c r="A31" s="345"/>
      <c r="B31" s="366" t="s">
        <v>72</v>
      </c>
      <c r="C31" s="367"/>
      <c r="D31" s="57">
        <f>D28*D$27</f>
        <v>90.43548387096773</v>
      </c>
      <c r="E31" s="58">
        <f t="shared" ref="E31:F31" si="2">E28*E$27</f>
        <v>315</v>
      </c>
      <c r="F31" s="59">
        <f t="shared" si="2"/>
        <v>1517.4193548387095</v>
      </c>
    </row>
    <row r="32" spans="1:6" s="1" customFormat="1" x14ac:dyDescent="0.3">
      <c r="A32" s="345"/>
      <c r="B32" s="89" t="s">
        <v>73</v>
      </c>
      <c r="C32" s="60"/>
      <c r="D32" s="61">
        <f t="shared" ref="D32:F33" si="3">D29*D$27</f>
        <v>180.87096774193546</v>
      </c>
      <c r="E32" s="62">
        <f t="shared" si="3"/>
        <v>630</v>
      </c>
      <c r="F32" s="63">
        <f t="shared" si="3"/>
        <v>3034.838709677419</v>
      </c>
    </row>
    <row r="33" spans="1:10" s="1" customFormat="1" ht="15" thickBot="1" x14ac:dyDescent="0.35">
      <c r="A33" s="346"/>
      <c r="B33" s="374" t="s">
        <v>74</v>
      </c>
      <c r="C33" s="375"/>
      <c r="D33" s="64">
        <f t="shared" si="3"/>
        <v>271.30645161290323</v>
      </c>
      <c r="E33" s="65">
        <f t="shared" si="3"/>
        <v>945</v>
      </c>
      <c r="F33" s="66">
        <f t="shared" si="3"/>
        <v>4552.2580645161288</v>
      </c>
    </row>
    <row r="34" spans="1:10" s="1" customFormat="1" ht="15" thickTop="1" x14ac:dyDescent="0.3">
      <c r="A34" s="347" t="s">
        <v>140</v>
      </c>
      <c r="B34" s="17" t="s">
        <v>200</v>
      </c>
      <c r="C34" s="49" t="s">
        <v>134</v>
      </c>
      <c r="D34" s="316">
        <v>0.2</v>
      </c>
      <c r="E34" s="317">
        <v>0.2</v>
      </c>
      <c r="F34" s="318">
        <v>0.2</v>
      </c>
    </row>
    <row r="35" spans="1:10" s="1" customFormat="1" x14ac:dyDescent="0.3">
      <c r="A35" s="379"/>
      <c r="B35" s="148" t="s">
        <v>133</v>
      </c>
      <c r="C35" s="149" t="s">
        <v>135</v>
      </c>
      <c r="D35" s="319">
        <f>D34*10</f>
        <v>2</v>
      </c>
      <c r="E35" s="320">
        <f>E34*20</f>
        <v>4</v>
      </c>
      <c r="F35" s="321">
        <f>F34*100</f>
        <v>20</v>
      </c>
    </row>
    <row r="36" spans="1:10" s="1" customFormat="1" x14ac:dyDescent="0.3">
      <c r="A36" s="379"/>
      <c r="B36" s="148" t="s">
        <v>136</v>
      </c>
      <c r="C36" s="149" t="s">
        <v>127</v>
      </c>
      <c r="D36" s="319">
        <v>10</v>
      </c>
      <c r="E36" s="320">
        <v>10</v>
      </c>
      <c r="F36" s="321">
        <v>10</v>
      </c>
    </row>
    <row r="37" spans="1:10" s="1" customFormat="1" ht="28.8" x14ac:dyDescent="0.3">
      <c r="A37" s="348"/>
      <c r="B37" s="96" t="s">
        <v>126</v>
      </c>
      <c r="C37" s="147" t="s">
        <v>132</v>
      </c>
      <c r="D37" s="153">
        <f>ROUNDUP(D35/D36,0)</f>
        <v>1</v>
      </c>
      <c r="E37" s="154">
        <f>ROUNDUP(E35/E36,0)</f>
        <v>1</v>
      </c>
      <c r="F37" s="155">
        <f>ROUNDUP(F35/F36,0)</f>
        <v>2</v>
      </c>
    </row>
    <row r="38" spans="1:10" s="1" customFormat="1" x14ac:dyDescent="0.3">
      <c r="A38" s="348"/>
      <c r="B38" s="99" t="s">
        <v>138</v>
      </c>
      <c r="C38" s="50" t="s">
        <v>129</v>
      </c>
      <c r="D38" s="322">
        <v>0.5</v>
      </c>
      <c r="E38" s="323">
        <v>0.5</v>
      </c>
      <c r="F38" s="324">
        <v>0.5</v>
      </c>
    </row>
    <row r="39" spans="1:10" s="1" customFormat="1" x14ac:dyDescent="0.3">
      <c r="A39" s="348"/>
      <c r="B39" s="99" t="s">
        <v>128</v>
      </c>
      <c r="C39" s="50" t="s">
        <v>129</v>
      </c>
      <c r="D39" s="322">
        <v>3</v>
      </c>
      <c r="E39" s="323">
        <v>3</v>
      </c>
      <c r="F39" s="324">
        <v>3</v>
      </c>
    </row>
    <row r="40" spans="1:10" s="1" customFormat="1" x14ac:dyDescent="0.3">
      <c r="A40" s="348"/>
      <c r="B40" s="99" t="s">
        <v>130</v>
      </c>
      <c r="C40" s="50" t="s">
        <v>131</v>
      </c>
      <c r="D40" s="150">
        <f>(D39+D38)*D37</f>
        <v>3.5</v>
      </c>
      <c r="E40" s="151">
        <f t="shared" ref="E40:F40" si="4">(E39+E38)*E37</f>
        <v>3.5</v>
      </c>
      <c r="F40" s="152">
        <f t="shared" si="4"/>
        <v>7</v>
      </c>
    </row>
    <row r="41" spans="1:10" s="1" customFormat="1" x14ac:dyDescent="0.3">
      <c r="A41" s="348"/>
      <c r="B41" s="99" t="s">
        <v>143</v>
      </c>
      <c r="C41" s="50" t="s">
        <v>137</v>
      </c>
      <c r="D41" s="322">
        <v>0.5</v>
      </c>
      <c r="E41" s="323">
        <v>0.5</v>
      </c>
      <c r="F41" s="324">
        <v>0.5</v>
      </c>
    </row>
    <row r="42" spans="1:10" s="1" customFormat="1" x14ac:dyDescent="0.3">
      <c r="A42" s="348"/>
      <c r="B42" s="99" t="s">
        <v>142</v>
      </c>
      <c r="C42" s="50" t="s">
        <v>137</v>
      </c>
      <c r="D42" s="156">
        <f>D41+D39</f>
        <v>3.5</v>
      </c>
      <c r="E42" s="157">
        <f>E41+E39</f>
        <v>3.5</v>
      </c>
      <c r="F42" s="158">
        <f>F41+F39</f>
        <v>3.5</v>
      </c>
    </row>
    <row r="43" spans="1:10" s="1" customFormat="1" x14ac:dyDescent="0.3">
      <c r="A43" s="348"/>
      <c r="B43" s="99" t="s">
        <v>141</v>
      </c>
      <c r="C43" s="50" t="s">
        <v>131</v>
      </c>
      <c r="D43" s="159">
        <f>D42*D35+D40</f>
        <v>10.5</v>
      </c>
      <c r="E43" s="160">
        <f t="shared" ref="E43:F43" si="5">E42*E35+E40</f>
        <v>17.5</v>
      </c>
      <c r="F43" s="161">
        <f t="shared" si="5"/>
        <v>77</v>
      </c>
    </row>
    <row r="44" spans="1:10" s="1" customFormat="1" x14ac:dyDescent="0.3">
      <c r="A44" s="380"/>
      <c r="B44" s="99" t="s">
        <v>144</v>
      </c>
      <c r="C44" s="50" t="s">
        <v>137</v>
      </c>
      <c r="D44" s="322">
        <v>1</v>
      </c>
      <c r="E44" s="323">
        <v>1</v>
      </c>
      <c r="F44" s="324">
        <v>2</v>
      </c>
    </row>
    <row r="45" spans="1:10" s="1" customFormat="1" ht="15" thickBot="1" x14ac:dyDescent="0.35">
      <c r="A45" s="380"/>
      <c r="B45" s="99" t="s">
        <v>145</v>
      </c>
      <c r="C45" s="50" t="s">
        <v>131</v>
      </c>
      <c r="D45" s="156">
        <f>D44*(10-D35)</f>
        <v>8</v>
      </c>
      <c r="E45" s="157">
        <f>E44*(20-E35)</f>
        <v>16</v>
      </c>
      <c r="F45" s="158">
        <f>F44*(100-F35)</f>
        <v>160</v>
      </c>
    </row>
    <row r="46" spans="1:10" s="1" customFormat="1" ht="15.6" thickTop="1" thickBot="1" x14ac:dyDescent="0.35">
      <c r="A46" s="349"/>
      <c r="B46" s="354" t="s">
        <v>139</v>
      </c>
      <c r="C46" s="355"/>
      <c r="D46" s="90">
        <f>(D43+D45)*Paramètres!$B$10</f>
        <v>644.51612903225805</v>
      </c>
      <c r="E46" s="91">
        <f>(E43+E45)*Paramètres!$B$10</f>
        <v>1167.0967741935483</v>
      </c>
      <c r="F46" s="92">
        <f>(F43+F45)*Paramètres!$B$10</f>
        <v>8256.7741935483864</v>
      </c>
    </row>
    <row r="47" spans="1:10" ht="15.6" thickTop="1" thickBot="1" x14ac:dyDescent="0.35">
      <c r="H47" s="232"/>
      <c r="I47" s="232"/>
      <c r="J47" s="232"/>
    </row>
    <row r="48" spans="1:10" ht="15.6" thickTop="1" thickBot="1" x14ac:dyDescent="0.35">
      <c r="A48" s="8" t="s">
        <v>0</v>
      </c>
      <c r="B48" s="48" t="s">
        <v>9</v>
      </c>
      <c r="C48" s="7" t="s">
        <v>8</v>
      </c>
      <c r="D48" s="137" t="s">
        <v>112</v>
      </c>
    </row>
    <row r="49" spans="1:4" ht="15" thickTop="1" x14ac:dyDescent="0.3">
      <c r="A49" s="347" t="s">
        <v>146</v>
      </c>
      <c r="B49" s="356" t="s">
        <v>147</v>
      </c>
      <c r="C49" s="357"/>
      <c r="D49" s="136">
        <f>Paramètres!B33</f>
        <v>1000</v>
      </c>
    </row>
    <row r="50" spans="1:4" x14ac:dyDescent="0.3">
      <c r="A50" s="348"/>
      <c r="B50" s="350" t="s">
        <v>82</v>
      </c>
      <c r="C50" s="351"/>
      <c r="D50" s="302">
        <v>10</v>
      </c>
    </row>
    <row r="51" spans="1:4" ht="15" thickBot="1" x14ac:dyDescent="0.35">
      <c r="A51" s="348"/>
      <c r="B51" s="352" t="s">
        <v>148</v>
      </c>
      <c r="C51" s="353"/>
      <c r="D51" s="302">
        <v>50000</v>
      </c>
    </row>
    <row r="52" spans="1:4" ht="15.6" thickTop="1" thickBot="1" x14ac:dyDescent="0.35">
      <c r="A52" s="349"/>
      <c r="B52" s="354" t="s">
        <v>149</v>
      </c>
      <c r="C52" s="355"/>
      <c r="D52" s="94">
        <f>D50*D49+D51</f>
        <v>60000</v>
      </c>
    </row>
    <row r="53" spans="1:4" ht="15" thickTop="1" x14ac:dyDescent="0.3"/>
  </sheetData>
  <mergeCells count="22">
    <mergeCell ref="A34:A46"/>
    <mergeCell ref="B46:C46"/>
    <mergeCell ref="A49:A52"/>
    <mergeCell ref="B49:C49"/>
    <mergeCell ref="B50:C50"/>
    <mergeCell ref="B51:C51"/>
    <mergeCell ref="B52:C52"/>
    <mergeCell ref="A28:A33"/>
    <mergeCell ref="B28:C28"/>
    <mergeCell ref="B29:C29"/>
    <mergeCell ref="B30:C30"/>
    <mergeCell ref="B31:C31"/>
    <mergeCell ref="B33:C33"/>
    <mergeCell ref="A3:A27"/>
    <mergeCell ref="B20:C20"/>
    <mergeCell ref="B21:C21"/>
    <mergeCell ref="B22:C22"/>
    <mergeCell ref="B23:C23"/>
    <mergeCell ref="B24:C24"/>
    <mergeCell ref="B25:C25"/>
    <mergeCell ref="B26:C26"/>
    <mergeCell ref="B27:C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workbookViewId="0">
      <selection activeCell="D21" sqref="D21"/>
    </sheetView>
  </sheetViews>
  <sheetFormatPr baseColWidth="10" defaultRowHeight="14.4" x14ac:dyDescent="0.3"/>
  <cols>
    <col min="1" max="1" width="20.44140625" customWidth="1"/>
    <col min="2" max="2" width="46.21875" customWidth="1"/>
    <col min="3" max="3" width="31.5546875" customWidth="1"/>
    <col min="4" max="6" width="13.21875" customWidth="1"/>
  </cols>
  <sheetData>
    <row r="1" spans="1:6" s="1" customFormat="1" ht="15.6" thickTop="1" thickBot="1" x14ac:dyDescent="0.35">
      <c r="D1" s="130" t="s">
        <v>2</v>
      </c>
      <c r="E1" s="131" t="s">
        <v>3</v>
      </c>
      <c r="F1" s="132" t="s">
        <v>4</v>
      </c>
    </row>
    <row r="2" spans="1:6" s="2" customFormat="1" ht="30" thickTop="1" thickBot="1" x14ac:dyDescent="0.35">
      <c r="A2" s="8" t="s">
        <v>0</v>
      </c>
      <c r="B2" s="48" t="s">
        <v>9</v>
      </c>
      <c r="C2" s="10" t="s">
        <v>8</v>
      </c>
      <c r="D2" s="133" t="s">
        <v>166</v>
      </c>
      <c r="E2" s="134" t="s">
        <v>167</v>
      </c>
      <c r="F2" s="135" t="s">
        <v>168</v>
      </c>
    </row>
    <row r="3" spans="1:6" s="2" customFormat="1" ht="15" thickTop="1" x14ac:dyDescent="0.3">
      <c r="A3" s="344" t="s">
        <v>165</v>
      </c>
      <c r="B3" s="46" t="s">
        <v>174</v>
      </c>
      <c r="C3" s="47" t="s">
        <v>169</v>
      </c>
      <c r="D3" s="24"/>
      <c r="E3" s="25"/>
      <c r="F3" s="26"/>
    </row>
    <row r="4" spans="1:6" s="2" customFormat="1" x14ac:dyDescent="0.3">
      <c r="A4" s="381"/>
      <c r="B4" s="46" t="s">
        <v>170</v>
      </c>
      <c r="C4" s="47" t="s">
        <v>171</v>
      </c>
      <c r="D4" s="24"/>
      <c r="E4" s="25"/>
      <c r="F4" s="26"/>
    </row>
    <row r="5" spans="1:6" s="2" customFormat="1" ht="15" thickBot="1" x14ac:dyDescent="0.35">
      <c r="A5" s="381"/>
      <c r="B5" s="46" t="s">
        <v>172</v>
      </c>
      <c r="C5" s="47" t="s">
        <v>173</v>
      </c>
      <c r="D5" s="201"/>
      <c r="E5" s="202"/>
      <c r="F5" s="203"/>
    </row>
    <row r="6" spans="1:6" s="2" customFormat="1" ht="15.6" thickTop="1" thickBot="1" x14ac:dyDescent="0.35">
      <c r="A6" s="345"/>
      <c r="B6" s="382" t="s">
        <v>35</v>
      </c>
      <c r="C6" s="383"/>
      <c r="D6" s="204">
        <f>D3+D4*D5*D3</f>
        <v>0</v>
      </c>
      <c r="E6" s="205">
        <f>E3+E4*E5*E3</f>
        <v>0</v>
      </c>
      <c r="F6" s="206">
        <f>F3+F4*F5*F3</f>
        <v>0</v>
      </c>
    </row>
    <row r="7" spans="1:6" s="2" customFormat="1" ht="15" thickTop="1" x14ac:dyDescent="0.3">
      <c r="A7" s="345"/>
      <c r="B7" s="340" t="s">
        <v>36</v>
      </c>
      <c r="C7" s="341"/>
      <c r="D7" s="36">
        <v>0.7</v>
      </c>
      <c r="E7" s="37">
        <v>0.8</v>
      </c>
      <c r="F7" s="38">
        <v>0.9</v>
      </c>
    </row>
    <row r="8" spans="1:6" s="2" customFormat="1" ht="15" thickBot="1" x14ac:dyDescent="0.35">
      <c r="A8" s="345"/>
      <c r="B8" s="342" t="s">
        <v>37</v>
      </c>
      <c r="C8" s="343"/>
      <c r="D8" s="43">
        <v>0.3</v>
      </c>
      <c r="E8" s="44">
        <v>0.2</v>
      </c>
      <c r="F8" s="45">
        <v>0.1</v>
      </c>
    </row>
    <row r="9" spans="1:6" s="2" customFormat="1" ht="15" thickTop="1" x14ac:dyDescent="0.3">
      <c r="A9" s="345"/>
      <c r="B9" s="358" t="s">
        <v>42</v>
      </c>
      <c r="C9" s="359"/>
      <c r="D9" s="310">
        <f t="shared" ref="D9:F10" si="0">D$6*D7</f>
        <v>0</v>
      </c>
      <c r="E9" s="311">
        <f t="shared" si="0"/>
        <v>0</v>
      </c>
      <c r="F9" s="312">
        <f t="shared" si="0"/>
        <v>0</v>
      </c>
    </row>
    <row r="10" spans="1:6" s="2" customFormat="1" x14ac:dyDescent="0.3">
      <c r="A10" s="345"/>
      <c r="B10" s="360" t="s">
        <v>43</v>
      </c>
      <c r="C10" s="361"/>
      <c r="D10" s="313">
        <f t="shared" si="0"/>
        <v>0</v>
      </c>
      <c r="E10" s="314">
        <f t="shared" si="0"/>
        <v>0</v>
      </c>
      <c r="F10" s="315">
        <f t="shared" si="0"/>
        <v>0</v>
      </c>
    </row>
    <row r="11" spans="1:6" s="2" customFormat="1" x14ac:dyDescent="0.3">
      <c r="A11" s="345"/>
      <c r="B11" s="360" t="s">
        <v>44</v>
      </c>
      <c r="C11" s="361"/>
      <c r="D11" s="233">
        <f>Paramètres!$B$9</f>
        <v>45.161290322580648</v>
      </c>
      <c r="E11" s="234">
        <f>Paramètres!$B$9</f>
        <v>45.161290322580648</v>
      </c>
      <c r="F11" s="235">
        <f>Paramètres!$B$9</f>
        <v>45.161290322580648</v>
      </c>
    </row>
    <row r="12" spans="1:6" s="2" customFormat="1" ht="15" thickBot="1" x14ac:dyDescent="0.35">
      <c r="A12" s="345"/>
      <c r="B12" s="362" t="s">
        <v>45</v>
      </c>
      <c r="C12" s="363"/>
      <c r="D12" s="236">
        <f>Paramètres!$C$9</f>
        <v>32.258064516129032</v>
      </c>
      <c r="E12" s="237">
        <f>Paramètres!$C$9</f>
        <v>32.258064516129032</v>
      </c>
      <c r="F12" s="238">
        <f>Paramètres!$C$9</f>
        <v>32.258064516129032</v>
      </c>
    </row>
    <row r="13" spans="1:6" s="2" customFormat="1" ht="15.6" thickTop="1" thickBot="1" x14ac:dyDescent="0.35">
      <c r="A13" s="346"/>
      <c r="B13" s="364" t="s">
        <v>71</v>
      </c>
      <c r="C13" s="365"/>
      <c r="D13" s="54">
        <f>D9*D11</f>
        <v>0</v>
      </c>
      <c r="E13" s="55">
        <f t="shared" ref="E13:F13" si="1">E9*E11</f>
        <v>0</v>
      </c>
      <c r="F13" s="56">
        <f t="shared" si="1"/>
        <v>0</v>
      </c>
    </row>
    <row r="14" spans="1:6" s="1" customFormat="1" ht="15.6" thickTop="1" thickBot="1" x14ac:dyDescent="0.35">
      <c r="A14" s="344" t="s">
        <v>176</v>
      </c>
      <c r="B14" s="368" t="s">
        <v>175</v>
      </c>
      <c r="C14" s="369"/>
      <c r="D14" s="53">
        <v>0.3</v>
      </c>
      <c r="E14" s="51">
        <v>0.3</v>
      </c>
      <c r="F14" s="52">
        <v>0.3</v>
      </c>
    </row>
    <row r="15" spans="1:6" s="1" customFormat="1" ht="15.6" thickTop="1" thickBot="1" x14ac:dyDescent="0.35">
      <c r="A15" s="345"/>
      <c r="B15" s="366" t="s">
        <v>177</v>
      </c>
      <c r="C15" s="367"/>
      <c r="D15" s="57">
        <f>D14*D$13</f>
        <v>0</v>
      </c>
      <c r="E15" s="58">
        <f>E14*E$13</f>
        <v>0</v>
      </c>
      <c r="F15" s="59">
        <f>F14*F$13</f>
        <v>0</v>
      </c>
    </row>
    <row r="16" spans="1:6" s="1" customFormat="1" ht="29.4" thickTop="1" x14ac:dyDescent="0.3">
      <c r="A16" s="347" t="s">
        <v>178</v>
      </c>
      <c r="B16" s="17" t="s">
        <v>180</v>
      </c>
      <c r="C16" s="49" t="s">
        <v>179</v>
      </c>
      <c r="D16" s="207">
        <v>0.5</v>
      </c>
      <c r="E16" s="208">
        <v>0.5</v>
      </c>
      <c r="F16" s="209">
        <v>0.5</v>
      </c>
    </row>
    <row r="17" spans="1:6" s="1" customFormat="1" ht="15" thickBot="1" x14ac:dyDescent="0.35">
      <c r="A17" s="379"/>
      <c r="B17" s="148" t="s">
        <v>181</v>
      </c>
      <c r="C17" s="149" t="s">
        <v>182</v>
      </c>
      <c r="D17" s="325">
        <f>D16*10*12</f>
        <v>60</v>
      </c>
      <c r="E17" s="326">
        <f>E16*20*12</f>
        <v>120</v>
      </c>
      <c r="F17" s="327">
        <f>F16*100*12</f>
        <v>600</v>
      </c>
    </row>
    <row r="18" spans="1:6" s="1" customFormat="1" ht="15.6" thickTop="1" thickBot="1" x14ac:dyDescent="0.35">
      <c r="A18" s="349"/>
      <c r="B18" s="354" t="s">
        <v>183</v>
      </c>
      <c r="C18" s="355"/>
      <c r="D18" s="211">
        <f>D17*Paramètres!$B$9</f>
        <v>2709.677419354839</v>
      </c>
      <c r="E18" s="212">
        <f>E17*Paramètres!$B$9</f>
        <v>5419.354838709678</v>
      </c>
      <c r="F18" s="213">
        <f>F17*Paramètres!$B$9</f>
        <v>27096.77419354839</v>
      </c>
    </row>
    <row r="19" spans="1:6" ht="15" thickTop="1" x14ac:dyDescent="0.3">
      <c r="A19" s="347" t="s">
        <v>184</v>
      </c>
      <c r="B19" s="388" t="s">
        <v>185</v>
      </c>
      <c r="C19" s="389"/>
      <c r="D19" s="210">
        <v>0.5</v>
      </c>
      <c r="E19" s="216">
        <v>0.5</v>
      </c>
      <c r="F19" s="217">
        <v>0.5</v>
      </c>
    </row>
    <row r="20" spans="1:6" x14ac:dyDescent="0.3">
      <c r="A20" s="379"/>
      <c r="B20" s="384" t="s">
        <v>186</v>
      </c>
      <c r="C20" s="385"/>
      <c r="D20" s="218">
        <v>1</v>
      </c>
      <c r="E20" s="219">
        <v>1</v>
      </c>
      <c r="F20" s="220">
        <v>5</v>
      </c>
    </row>
    <row r="21" spans="1:6" ht="15" thickBot="1" x14ac:dyDescent="0.35">
      <c r="A21" s="379"/>
      <c r="B21" s="386" t="s">
        <v>187</v>
      </c>
      <c r="C21" s="387"/>
      <c r="D21" s="328">
        <f>D20*D19</f>
        <v>0.5</v>
      </c>
      <c r="E21" s="329">
        <f>E20*E19</f>
        <v>0.5</v>
      </c>
      <c r="F21" s="330">
        <f>F20*F19</f>
        <v>2.5</v>
      </c>
    </row>
    <row r="22" spans="1:6" ht="15.6" thickTop="1" thickBot="1" x14ac:dyDescent="0.35">
      <c r="A22" s="349"/>
      <c r="B22" s="354" t="s">
        <v>183</v>
      </c>
      <c r="C22" s="355"/>
      <c r="D22" s="93">
        <f>D21*D13</f>
        <v>0</v>
      </c>
      <c r="E22" s="214">
        <f>E21*E13</f>
        <v>0</v>
      </c>
      <c r="F22" s="215">
        <f>F21*F13</f>
        <v>0</v>
      </c>
    </row>
    <row r="23" spans="1:6" ht="15" thickTop="1" x14ac:dyDescent="0.3"/>
    <row r="26" spans="1:6" ht="15" thickBot="1" x14ac:dyDescent="0.35"/>
    <row r="27" spans="1:6" ht="15.6" thickTop="1" thickBot="1" x14ac:dyDescent="0.35">
      <c r="A27" s="8" t="s">
        <v>0</v>
      </c>
      <c r="B27" s="48" t="s">
        <v>9</v>
      </c>
      <c r="C27" s="7" t="s">
        <v>8</v>
      </c>
      <c r="D27" s="137" t="s">
        <v>112</v>
      </c>
    </row>
    <row r="28" spans="1:6" ht="15" thickTop="1" x14ac:dyDescent="0.3">
      <c r="A28" s="347" t="s">
        <v>146</v>
      </c>
      <c r="B28" s="356" t="s">
        <v>188</v>
      </c>
      <c r="C28" s="357"/>
      <c r="D28" s="136">
        <f>Paramètres!B33</f>
        <v>1000</v>
      </c>
    </row>
    <row r="29" spans="1:6" x14ac:dyDescent="0.3">
      <c r="A29" s="348"/>
      <c r="B29" s="350" t="s">
        <v>82</v>
      </c>
      <c r="C29" s="351"/>
      <c r="D29" s="95">
        <v>10</v>
      </c>
    </row>
    <row r="30" spans="1:6" ht="15" thickBot="1" x14ac:dyDescent="0.35">
      <c r="A30" s="348"/>
      <c r="B30" s="352"/>
      <c r="C30" s="353"/>
      <c r="D30" s="95"/>
    </row>
    <row r="31" spans="1:6" ht="15.6" thickTop="1" thickBot="1" x14ac:dyDescent="0.35">
      <c r="A31" s="349"/>
      <c r="B31" s="354" t="s">
        <v>149</v>
      </c>
      <c r="C31" s="355"/>
      <c r="D31" s="94">
        <f>D29*D28+D30</f>
        <v>10000</v>
      </c>
    </row>
    <row r="32" spans="1:6" ht="15" thickTop="1" x14ac:dyDescent="0.3"/>
  </sheetData>
  <mergeCells count="24">
    <mergeCell ref="B20:C20"/>
    <mergeCell ref="B21:C21"/>
    <mergeCell ref="A16:A18"/>
    <mergeCell ref="B18:C18"/>
    <mergeCell ref="A28:A31"/>
    <mergeCell ref="B28:C28"/>
    <mergeCell ref="B29:C29"/>
    <mergeCell ref="B30:C30"/>
    <mergeCell ref="B31:C31"/>
    <mergeCell ref="A19:A22"/>
    <mergeCell ref="B22:C22"/>
    <mergeCell ref="B19:C19"/>
    <mergeCell ref="A14:A15"/>
    <mergeCell ref="B14:C14"/>
    <mergeCell ref="B15:C15"/>
    <mergeCell ref="A3:A13"/>
    <mergeCell ref="B6:C6"/>
    <mergeCell ref="B7:C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tabSelected="1" workbookViewId="0">
      <selection activeCell="A19" sqref="A19:D26"/>
    </sheetView>
  </sheetViews>
  <sheetFormatPr baseColWidth="10" defaultRowHeight="14.4" x14ac:dyDescent="0.3"/>
  <cols>
    <col min="1" max="1" width="17.21875" customWidth="1"/>
    <col min="2" max="2" width="34.5546875" customWidth="1"/>
    <col min="3" max="3" width="17.33203125" bestFit="1" customWidth="1"/>
  </cols>
  <sheetData>
    <row r="1" spans="1:6" ht="15" thickTop="1" x14ac:dyDescent="0.3">
      <c r="A1" s="391" t="s">
        <v>118</v>
      </c>
      <c r="B1" s="138" t="s">
        <v>108</v>
      </c>
      <c r="C1" s="224">
        <f>Paramètres!B33</f>
        <v>1000</v>
      </c>
      <c r="D1" s="73" t="s">
        <v>109</v>
      </c>
    </row>
    <row r="2" spans="1:6" ht="15" thickBot="1" x14ac:dyDescent="0.35">
      <c r="A2" s="392"/>
      <c r="B2" s="139" t="s">
        <v>115</v>
      </c>
      <c r="C2" s="222">
        <f>Paramètres!B4*Paramètres!B7+Paramètres!C4*Paramètres!C7</f>
        <v>54000000</v>
      </c>
      <c r="D2" s="140" t="s">
        <v>116</v>
      </c>
    </row>
    <row r="3" spans="1:6" ht="15" thickTop="1" x14ac:dyDescent="0.3">
      <c r="A3" s="344" t="s">
        <v>114</v>
      </c>
      <c r="B3" s="225" t="s">
        <v>64</v>
      </c>
      <c r="C3" s="223">
        <f>Paramètres!E13</f>
        <v>2500</v>
      </c>
      <c r="D3" s="73" t="s">
        <v>110</v>
      </c>
    </row>
    <row r="4" spans="1:6" x14ac:dyDescent="0.3">
      <c r="A4" s="345"/>
      <c r="B4" s="226" t="s">
        <v>65</v>
      </c>
      <c r="C4" s="141">
        <f>Paramètres!E21</f>
        <v>0.83333333333333337</v>
      </c>
      <c r="D4" s="74" t="s">
        <v>62</v>
      </c>
    </row>
    <row r="5" spans="1:6" x14ac:dyDescent="0.3">
      <c r="A5" s="345"/>
      <c r="B5" s="226" t="s">
        <v>60</v>
      </c>
      <c r="C5" s="142">
        <f>SUMPRODUCT('Coûts documentaires'!$D$27:$F$27,Paramètres!$B$15:$D$15)</f>
        <v>899511.29032258084</v>
      </c>
      <c r="D5" s="74" t="s">
        <v>63</v>
      </c>
    </row>
    <row r="6" spans="1:6" x14ac:dyDescent="0.3">
      <c r="A6" s="345"/>
      <c r="B6" s="226" t="s">
        <v>61</v>
      </c>
      <c r="C6" s="142">
        <f>SUMPRODUCT('Coûts documentaires'!$D$31:$F$33,Paramètres!$B$18:$D$20)</f>
        <v>4452580.8870967748</v>
      </c>
      <c r="D6" s="74" t="s">
        <v>63</v>
      </c>
    </row>
    <row r="7" spans="1:6" x14ac:dyDescent="0.3">
      <c r="A7" s="345"/>
      <c r="B7" s="226" t="s">
        <v>76</v>
      </c>
      <c r="C7" s="142">
        <f>SUMPRODUCT('Coûts documentaires'!$D$37:$F$37,Paramètres!$B$15:$D$15)+SUMPRODUCT('Coûts documentaires'!$D$37:$F$37,Paramètres!$B$17:$D$17)</f>
        <v>68448.387096774197</v>
      </c>
      <c r="D7" s="74" t="s">
        <v>63</v>
      </c>
    </row>
    <row r="8" spans="1:6" x14ac:dyDescent="0.3">
      <c r="A8" s="345"/>
      <c r="B8" s="226" t="s">
        <v>77</v>
      </c>
      <c r="C8" s="142">
        <f>'Coûts documentaires'!D44</f>
        <v>175000</v>
      </c>
      <c r="D8" s="74" t="s">
        <v>63</v>
      </c>
    </row>
    <row r="9" spans="1:6" x14ac:dyDescent="0.3">
      <c r="A9" s="345"/>
      <c r="B9" s="226" t="s">
        <v>84</v>
      </c>
      <c r="C9" s="142">
        <f>SUM('Coûts documentaires'!D56:F56)</f>
        <v>3250161.2903225804</v>
      </c>
      <c r="D9" s="74" t="s">
        <v>63</v>
      </c>
    </row>
    <row r="10" spans="1:6" x14ac:dyDescent="0.3">
      <c r="A10" s="345"/>
      <c r="B10" s="227" t="s">
        <v>113</v>
      </c>
      <c r="C10" s="143">
        <f>SUM(C5:C9)</f>
        <v>8845701.8548387103</v>
      </c>
      <c r="D10" s="144" t="s">
        <v>63</v>
      </c>
      <c r="E10" s="240">
        <f>C10/C3</f>
        <v>3538.280741935484</v>
      </c>
      <c r="F10" t="s">
        <v>199</v>
      </c>
    </row>
    <row r="11" spans="1:6" ht="15" thickBot="1" x14ac:dyDescent="0.35">
      <c r="A11" s="390"/>
      <c r="B11" s="228" t="s">
        <v>117</v>
      </c>
      <c r="C11" s="196">
        <f>C10/C2</f>
        <v>0.16380929360812427</v>
      </c>
      <c r="D11" s="195"/>
    </row>
    <row r="12" spans="1:6" ht="15" thickTop="1" x14ac:dyDescent="0.3">
      <c r="A12" s="391" t="s">
        <v>153</v>
      </c>
      <c r="B12" s="229" t="s">
        <v>154</v>
      </c>
      <c r="C12" s="197">
        <f>Paramètres!E22</f>
        <v>3300</v>
      </c>
      <c r="D12" s="194" t="s">
        <v>155</v>
      </c>
    </row>
    <row r="13" spans="1:6" x14ac:dyDescent="0.3">
      <c r="A13" s="393"/>
      <c r="B13" s="230" t="s">
        <v>156</v>
      </c>
      <c r="C13" s="142">
        <f>SUMPRODUCT('Coûts de training'!$D$27:$F$27,Paramètres!$B$15:$D$15,Paramètres!$B$23:$D$23)</f>
        <v>221600.80645161291</v>
      </c>
      <c r="D13" s="74" t="s">
        <v>63</v>
      </c>
    </row>
    <row r="14" spans="1:6" x14ac:dyDescent="0.3">
      <c r="A14" s="393"/>
      <c r="B14" s="230" t="s">
        <v>157</v>
      </c>
      <c r="C14" s="142">
        <f>SUMPRODUCT(Paramètres!B25:D27,'Coûts de training'!D31:F33)</f>
        <v>1096923.9919354836</v>
      </c>
      <c r="D14" s="74" t="s">
        <v>63</v>
      </c>
    </row>
    <row r="15" spans="1:6" x14ac:dyDescent="0.3">
      <c r="A15" s="393"/>
      <c r="B15" s="230" t="s">
        <v>158</v>
      </c>
      <c r="C15" s="142">
        <f>SUMPRODUCT('Coûts de training'!D46:F46,Paramètres!B24:D24)</f>
        <v>3834174.1935483865</v>
      </c>
      <c r="D15" s="74" t="s">
        <v>63</v>
      </c>
    </row>
    <row r="16" spans="1:6" x14ac:dyDescent="0.3">
      <c r="A16" s="393"/>
      <c r="B16" s="230" t="s">
        <v>159</v>
      </c>
      <c r="C16" s="142">
        <f>'Coûts de training'!D52</f>
        <v>60000</v>
      </c>
      <c r="D16" s="74" t="s">
        <v>63</v>
      </c>
    </row>
    <row r="17" spans="1:4" x14ac:dyDescent="0.3">
      <c r="A17" s="393"/>
      <c r="B17" s="227" t="s">
        <v>160</v>
      </c>
      <c r="C17" s="143">
        <f>SUM(C13:C16)</f>
        <v>5212698.9919354832</v>
      </c>
      <c r="D17" s="144" t="s">
        <v>63</v>
      </c>
    </row>
    <row r="18" spans="1:4" ht="15" thickBot="1" x14ac:dyDescent="0.35">
      <c r="A18" s="392"/>
      <c r="B18" s="231" t="s">
        <v>117</v>
      </c>
      <c r="C18" s="145">
        <f>C17/C2</f>
        <v>9.6531462813620059E-2</v>
      </c>
      <c r="D18" s="146"/>
    </row>
    <row r="19" spans="1:4" ht="15" thickTop="1" x14ac:dyDescent="0.3">
      <c r="A19" s="391" t="s">
        <v>189</v>
      </c>
      <c r="B19" s="229" t="s">
        <v>195</v>
      </c>
      <c r="C19" s="197">
        <f>Paramètres!E29</f>
        <v>0</v>
      </c>
      <c r="D19" s="194" t="s">
        <v>190</v>
      </c>
    </row>
    <row r="20" spans="1:4" x14ac:dyDescent="0.3">
      <c r="A20" s="393"/>
      <c r="B20" s="230" t="s">
        <v>156</v>
      </c>
      <c r="C20" s="142">
        <f>SUMPRODUCT('Coûts de knowledge mgt'!D13:F13,Paramètres!B28:D28)</f>
        <v>0</v>
      </c>
      <c r="D20" s="74" t="s">
        <v>63</v>
      </c>
    </row>
    <row r="21" spans="1:4" x14ac:dyDescent="0.3">
      <c r="A21" s="393"/>
      <c r="B21" s="230" t="s">
        <v>157</v>
      </c>
      <c r="C21" s="142">
        <f>SUMPRODUCT('Coûts de knowledge mgt'!D15:F15,Paramètres!B29:D29)</f>
        <v>0</v>
      </c>
      <c r="D21" s="74" t="s">
        <v>63</v>
      </c>
    </row>
    <row r="22" spans="1:4" x14ac:dyDescent="0.3">
      <c r="A22" s="393"/>
      <c r="B22" s="230" t="s">
        <v>192</v>
      </c>
      <c r="C22" s="142">
        <f>SUMPRODUCT('Coûts de knowledge mgt'!$D$18:$F$18,Paramètres!$B$29:$D$29)</f>
        <v>0</v>
      </c>
      <c r="D22" s="74" t="s">
        <v>63</v>
      </c>
    </row>
    <row r="23" spans="1:4" x14ac:dyDescent="0.3">
      <c r="A23" s="393"/>
      <c r="B23" s="230" t="s">
        <v>196</v>
      </c>
      <c r="C23" s="142">
        <f>'Coûts de knowledge mgt'!D31</f>
        <v>10000</v>
      </c>
      <c r="D23" s="74" t="s">
        <v>63</v>
      </c>
    </row>
    <row r="24" spans="1:4" x14ac:dyDescent="0.3">
      <c r="A24" s="393"/>
      <c r="B24" s="230" t="s">
        <v>191</v>
      </c>
      <c r="C24" s="142">
        <f>SUMPRODUCT('Coûts de knowledge mgt'!D22:F22,Paramètres!B29:D29)</f>
        <v>0</v>
      </c>
      <c r="D24" s="74" t="s">
        <v>63</v>
      </c>
    </row>
    <row r="25" spans="1:4" x14ac:dyDescent="0.3">
      <c r="A25" s="393"/>
      <c r="B25" s="227" t="s">
        <v>160</v>
      </c>
      <c r="C25" s="143">
        <f>SUM(C20:C24)</f>
        <v>10000</v>
      </c>
      <c r="D25" s="144" t="s">
        <v>63</v>
      </c>
    </row>
    <row r="26" spans="1:4" ht="15" thickBot="1" x14ac:dyDescent="0.35">
      <c r="A26" s="394"/>
      <c r="B26" s="231" t="s">
        <v>117</v>
      </c>
      <c r="C26" s="145">
        <f>C25/C2</f>
        <v>1.8518518518518518E-4</v>
      </c>
      <c r="D26" s="146"/>
    </row>
    <row r="27" spans="1:4" ht="15" thickTop="1" x14ac:dyDescent="0.3"/>
    <row r="28" spans="1:4" x14ac:dyDescent="0.3">
      <c r="A28" t="s">
        <v>197</v>
      </c>
    </row>
    <row r="29" spans="1:4" x14ac:dyDescent="0.3">
      <c r="A29" t="s">
        <v>198</v>
      </c>
    </row>
  </sheetData>
  <mergeCells count="4">
    <mergeCell ref="A3:A11"/>
    <mergeCell ref="A1:A2"/>
    <mergeCell ref="A12:A18"/>
    <mergeCell ref="A19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Paramètres</vt:lpstr>
      <vt:lpstr>Coûts documentaires</vt:lpstr>
      <vt:lpstr>Coûts de training</vt:lpstr>
      <vt:lpstr>Coûts de knowledge mgt</vt:lpstr>
      <vt:lpstr>Synthèse des coûts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DEPARDIEU</dc:creator>
  <cp:lastModifiedBy>Olivier DEPARDIEU</cp:lastModifiedBy>
  <dcterms:created xsi:type="dcterms:W3CDTF">2017-04-07T12:54:56Z</dcterms:created>
  <dcterms:modified xsi:type="dcterms:W3CDTF">2020-07-07T06:13:08Z</dcterms:modified>
</cp:coreProperties>
</file>